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codeName="ThisWorkbook"/>
  <mc:AlternateContent xmlns:mc="http://schemas.openxmlformats.org/markup-compatibility/2006">
    <mc:Choice Requires="x15">
      <x15ac:absPath xmlns:x15ac="http://schemas.microsoft.com/office/spreadsheetml/2010/11/ac" url="/Users/clarkseavert/Library/CloudStorage/Box-Box/OSU Folder/RESEARCH/Cropping Systems Projects/UI - AFRI Landscapes in Transition/"/>
    </mc:Choice>
  </mc:AlternateContent>
  <xr:revisionPtr revIDLastSave="0" documentId="13_ncr:1_{2EF2F5D7-4C73-8947-850C-C6009E07A05B}" xr6:coauthVersionLast="47" xr6:coauthVersionMax="47" xr10:uidLastSave="{00000000-0000-0000-0000-000000000000}"/>
  <bookViews>
    <workbookView xWindow="0" yWindow="500" windowWidth="29160" windowHeight="18800" tabRatio="727" xr2:uid="{00000000-000D-0000-FFFF-FFFF00000000}"/>
  </bookViews>
  <sheets>
    <sheet name="Introduction" sheetId="144" r:id="rId1"/>
    <sheet name="Results" sheetId="145" r:id="rId2"/>
    <sheet name="Farm and Rotation Setup" sheetId="94" r:id="rId3"/>
    <sheet name="Prices_Yields&amp;SeedInputs" sheetId="122" r:id="rId4"/>
    <sheet name="LivestockImprovements" sheetId="129" r:id="rId5"/>
    <sheet name="Chem&amp;FertInputs&amp;CInsurance" sheetId="126" r:id="rId6"/>
    <sheet name="MachineAssumptions" sheetId="128" r:id="rId7"/>
    <sheet name="FieldApplications" sheetId="127" r:id="rId8"/>
    <sheet name="CustomRates" sheetId="50" r:id="rId9"/>
    <sheet name="SWWinterWheatAfterSpringLegume" sheetId="133" r:id="rId10"/>
    <sheet name="SWWinterWheatAfterForageCrop" sheetId="134" r:id="rId11"/>
    <sheet name="DNSpringWinterAfterSpringLegume" sheetId="135" r:id="rId12"/>
    <sheet name="DNSpringWheatAfterForageCrop" sheetId="98" r:id="rId13"/>
    <sheet name="DNSpringWheatAfterWinterCrop" sheetId="95" r:id="rId14"/>
    <sheet name="ChickpeaAfterForageCrop" sheetId="96" r:id="rId15"/>
    <sheet name="ChickpeaAfterCereal" sheetId="123" r:id="rId16"/>
    <sheet name="SpringPeaAfterCereal" sheetId="137" r:id="rId17"/>
    <sheet name="ForageCrop-StJohn" sheetId="118" r:id="rId18"/>
    <sheet name="ForageCrop-Genesee" sheetId="119" r:id="rId19"/>
    <sheet name="LivestockGrazing" sheetId="120" r:id="rId20"/>
    <sheet name="SWWinterWheatafterCereal" sheetId="132" r:id="rId21"/>
    <sheet name="SWWinterWheatAfterFallow" sheetId="86" r:id="rId22"/>
    <sheet name="Chem-Fallow" sheetId="99" r:id="rId23"/>
    <sheet name="Flex-Fallow" sheetId="136" r:id="rId24"/>
    <sheet name="SpringBarley" sheetId="91" r:id="rId25"/>
    <sheet name="SpringCanola_R-Ready" sheetId="139" r:id="rId26"/>
    <sheet name="SpringCanola" sheetId="97" r:id="rId27"/>
    <sheet name="SpringLentils" sheetId="117" r:id="rId28"/>
    <sheet name="SWSpringWheat" sheetId="116" r:id="rId29"/>
    <sheet name="HRWinterWheat" sheetId="124" r:id="rId30"/>
    <sheet name="WinterPea" sheetId="138" r:id="rId31"/>
    <sheet name="WinterCanola" sheetId="140" r:id="rId32"/>
    <sheet name="ForageCrop" sheetId="113" r:id="rId33"/>
    <sheet name="AnnualRotations" sheetId="141" state="hidden" r:id="rId34"/>
    <sheet name="Graphs" sheetId="142" state="hidden" r:id="rId35"/>
    <sheet name="LivestockFencing (2)" sheetId="143" state="hidden" r:id="rId36"/>
    <sheet name="LeasingInfo" sheetId="130" state="hidden" r:id="rId37"/>
    <sheet name="LeaseOption" sheetId="88" state="hidden" r:id="rId38"/>
  </sheets>
  <externalReferences>
    <externalReference r:id="rId39"/>
  </externalReferences>
  <definedNames>
    <definedName name="a">#REF!</definedName>
    <definedName name="aaaaa">#REF!</definedName>
    <definedName name="aaaaaa">#REF!</definedName>
    <definedName name="aaaaaaa">#REF!</definedName>
    <definedName name="aaaaaaaa">#REF!</definedName>
    <definedName name="aaaaaaaaa">#REF!</definedName>
    <definedName name="aaaaaaaaaa">#REF!</definedName>
    <definedName name="aaaaaaaaaaaa">'[1]Detailed Inputs'!#REF!</definedName>
    <definedName name="aaaaaaab">#REF!</definedName>
    <definedName name="aaaaaaabb">#REF!</definedName>
    <definedName name="aaaaaaabbb">#REF!</definedName>
    <definedName name="aaaaaaabbbb">#REF!</definedName>
    <definedName name="aaaaaaac">#REF!</definedName>
    <definedName name="aaaaaaacc">#REF!</definedName>
    <definedName name="aaaaaaaccc">#REF!</definedName>
    <definedName name="aaaaaaacccc">#REF!</definedName>
    <definedName name="aaaaaaaccccc">#REF!</definedName>
    <definedName name="aaaaaaacccccc">#REF!</definedName>
    <definedName name="aaaaaaaccccccc">#REF!</definedName>
    <definedName name="acre_ft_to_m3">#REF!</definedName>
    <definedName name="acre_to_ha">#REF!</definedName>
    <definedName name="ambient_az_avg_temp">'[1]Detailed Inputs'!$K$13</definedName>
    <definedName name="BTU_to_J">#REF!</definedName>
    <definedName name="conversion_acre_ft_to_cubic_m">[1]Conversions!$F$28</definedName>
    <definedName name="conversion_acre_to_ha">[1]Conversions!$F$38</definedName>
    <definedName name="conversion_btu_to_MJ">[1]Conversions!$F$37</definedName>
    <definedName name="conversion_cubic_cm_to_cubic_m">[1]Conversions!$F$25</definedName>
    <definedName name="conversion_cubic_cm_to_L">[1]Conversions!$F$18</definedName>
    <definedName name="conversion_cubic_ft_to_cubic_m">[1]Conversions!$F$26</definedName>
    <definedName name="conversion_cubic_m_to_L">[1]Conversions!$F$16</definedName>
    <definedName name="conversion_g_to_kg">[1]Conversions!$F$8</definedName>
    <definedName name="conversion_gal_to_cubic_ft">[1]Conversions!$F$12</definedName>
    <definedName name="conversion_gal_to_cubic_in">[1]Conversions!$F$10</definedName>
    <definedName name="conversion_gal_to_L">[1]Conversions!$F$14</definedName>
    <definedName name="conversion_HP_to_kW">[1]Conversions!$F$33</definedName>
    <definedName name="conversion_hr_to_min">[1]Conversions!$F$29</definedName>
    <definedName name="conversion_kg_to_g">[1]Conversions!$F$9</definedName>
    <definedName name="conversion_kg_to_tonnes">[1]Conversions!$F$7</definedName>
    <definedName name="conversion_kWh_to_MJ">[1]Conversions!$F$31</definedName>
    <definedName name="conversion_L_to_cubic_m">[1]Conversions!$F$17</definedName>
    <definedName name="conversion_L_to_gal">[1]Conversions!$F$15</definedName>
    <definedName name="conversion_L_to_mL">[1]Conversions!$F$20</definedName>
    <definedName name="conversion_L_to_oz">[1]Conversions!$F$22</definedName>
    <definedName name="conversion_lbs_to_tonnes">[1]Conversions!$F$27</definedName>
    <definedName name="conversion_min_to_hr">[1]Conversions!$F$30</definedName>
    <definedName name="conversion_tonnes_to_kg">[1]Conversions!$F$6</definedName>
    <definedName name="custom_ace_tonnes_to_L">'[1]200 - Backup Calcs'!$C$67</definedName>
    <definedName name="custom_electrical_cooling_load">'[1]200 - Backup Calcs'!$D$78</definedName>
    <definedName name="custom_gua_tonnes_to_L">'[1]200 - Backup Calcs'!$C$71</definedName>
    <definedName name="custom_hex_tonnes_to_L">'[1]200 - Backup Calcs'!$C$65</definedName>
    <definedName name="custom_water_tonnes_to_L">'[1]200 - Backup Calcs'!$C$69</definedName>
    <definedName name="economic_bagasse_sale_price">'[1]Detailed Inputs'!$K$125</definedName>
    <definedName name="economic_capital_acetone_condenser">'[1]Detailed Inputs'!$K$79</definedName>
    <definedName name="economic_capital_acetone_dist_column">'[1]Detailed Inputs'!$K$78</definedName>
    <definedName name="economic_capital_acetone_scrubber">'[1]Detailed Inputs'!$K$77</definedName>
    <definedName name="economic_capital_agitator">#REF!</definedName>
    <definedName name="economic_capital_air_classifier_1">#REF!</definedName>
    <definedName name="economic_capital_air_classifier_2">#REF!</definedName>
    <definedName name="economic_capital_air_classifier_3">#REF!</definedName>
    <definedName name="economic_capital_air_classifyer">'[1]Detailed Inputs'!$K$60</definedName>
    <definedName name="economic_capital_air_conveyor">'[1]Detailed Inputs'!$K$59</definedName>
    <definedName name="economic_capital_belt_conveyor">'[1]Detailed Inputs'!$K$62</definedName>
    <definedName name="economic_capital_belt_conveyor_1">#REF!</definedName>
    <definedName name="economic_capital_belt_conveyor_2">#REF!</definedName>
    <definedName name="economic_capital_belt_conveyor_3">#REF!</definedName>
    <definedName name="economic_capital_belt_conveyor_4">#REF!</definedName>
    <definedName name="economic_capital_belt_conveyor_5">#REF!</definedName>
    <definedName name="economic_capital_belt_conveyor_6">#REF!</definedName>
    <definedName name="economic_capital_belt_conveyor_7">#REF!</definedName>
    <definedName name="economic_capital_belt_conveyor_8">#REF!</definedName>
    <definedName name="economic_capital_cc_extractor">'[1]Detailed Inputs'!$K$66</definedName>
    <definedName name="economic_capital_centrifuge">'[1]Detailed Inputs'!$K$67</definedName>
    <definedName name="economic_capital_flaking_mill_1">#REF!</definedName>
    <definedName name="economic_capital_flaking_mill_2">#REF!</definedName>
    <definedName name="economic_capital_grinding_mill_1">#REF!</definedName>
    <definedName name="economic_capital_grinding_mill_2">#REF!</definedName>
    <definedName name="economic_capital_grinding_mill_3">#REF!</definedName>
    <definedName name="economic_capital_guar_storage">#REF!</definedName>
    <definedName name="economic_capital_guayule_storage">'[1]Detailed Inputs'!$K$83</definedName>
    <definedName name="economic_capital_hammer_mill">'[1]Detailed Inputs'!$K$61</definedName>
    <definedName name="economic_capital_hammer_mill_1">#REF!</definedName>
    <definedName name="economic_capital_hammer_mill_2">#REF!</definedName>
    <definedName name="economic_capital_hexane_absorber">'[1]Detailed Inputs'!$K$74</definedName>
    <definedName name="economic_capital_hexane_condenser">'[1]Detailed Inputs'!$K$76</definedName>
    <definedName name="economic_capital_hexane_stripper">'[1]Detailed Inputs'!$K$75</definedName>
    <definedName name="economic_capital_hopper_1">#REF!</definedName>
    <definedName name="economic_capital_hopper_2">#REF!</definedName>
    <definedName name="economic_capital_land">#REF!</definedName>
    <definedName name="economic_capital_mixer_settler">'[1]Detailed Inputs'!$K$69</definedName>
    <definedName name="economic_capital_mixing_tank">#REF!</definedName>
    <definedName name="economic_capital_office_building">#REF!</definedName>
    <definedName name="economic_capital_oil_pump">'[1]Detailed Inputs'!$K$71</definedName>
    <definedName name="economic_capital_polisher_shaver">#REF!</definedName>
    <definedName name="economic_capital_processing_structure">#REF!</definedName>
    <definedName name="economic_capital_resin_dist_column">'[1]Detailed Inputs'!$K$73</definedName>
    <definedName name="economic_capital_screw_conveyor">#REF!</definedName>
    <definedName name="economic_capital_screw_press">'[1]Detailed Inputs'!$K$70</definedName>
    <definedName name="economic_capital_shaker_table">#REF!</definedName>
    <definedName name="economic_capital_shredder">'[1]Detailed Inputs'!$K$58</definedName>
    <definedName name="economic_capital_slurry_pump">'[1]Detailed Inputs'!$K$65</definedName>
    <definedName name="economic_capital_solvent_pump">'[1]Detailed Inputs'!$K$63</definedName>
    <definedName name="economic_capital_spray_dryer">#REF!</definedName>
    <definedName name="economic_capital_tray_dryer">'[1]Detailed Inputs'!$K$68</definedName>
    <definedName name="economic_capital_water_pump">'[1]Detailed Inputs'!$K$72</definedName>
    <definedName name="economic_capital_water_supply_pump_1">#REF!</definedName>
    <definedName name="economic_capital_water_supply_pump_2">#REF!</definedName>
    <definedName name="economic_fixed_op_benefits">#REF!</definedName>
    <definedName name="economic_fixed_op_clerk">#REF!</definedName>
    <definedName name="economic_fixed_op_engineer">#REF!</definedName>
    <definedName name="economic_fixed_op_insurance">#REF!</definedName>
    <definedName name="economic_fixed_op_lab_manager">#REF!</definedName>
    <definedName name="economic_fixed_op_lab_tech">#REF!</definedName>
    <definedName name="economic_fixed_op_maint">#REF!</definedName>
    <definedName name="economic_fixed_op_maint_sup">#REF!</definedName>
    <definedName name="economic_fixed_op_maint_tech">#REF!</definedName>
    <definedName name="economic_fixed_op_manager">#REF!</definedName>
    <definedName name="economic_fixed_op_shift_op">#REF!</definedName>
    <definedName name="economic_fixed_op_yard_employee">#REF!</definedName>
    <definedName name="economic_guar_sale_price">#REF!</definedName>
    <definedName name="economic_guayule_sale_price">'[1]Detailed Inputs'!$K$124</definedName>
    <definedName name="economic_gum_sale_price">#REF!</definedName>
    <definedName name="economic_resin_sale_price">'[1]Detailed Inputs'!$K$126</definedName>
    <definedName name="economic_rubber_sale_price">'[1]Detailed Inputs'!$K$127</definedName>
    <definedName name="economic_variable_op_acetone">'[1]Detailed Inputs'!$K$55</definedName>
    <definedName name="economic_variable_op_electricity">#REF!</definedName>
    <definedName name="economic_variable_op_guar_seed">#REF!</definedName>
    <definedName name="economic_variable_op_hexane">'[1]Detailed Inputs'!$K$54</definedName>
    <definedName name="economic_variable_op_mineral_oil">'[1]Detailed Inputs'!$K$57</definedName>
    <definedName name="economic_variable_op_natural_gas">#REF!</definedName>
    <definedName name="economic_variable_op_water">#REF!</definedName>
    <definedName name="economic_variable_protein_sale_price">#REF!</definedName>
    <definedName name="environmental_emissions_electricity">#REF!</definedName>
    <definedName name="environmental_emissions_natural_gas">#REF!</definedName>
    <definedName name="ft3_to_m3">#REF!</definedName>
    <definedName name="gal_to_liters">#REF!</definedName>
    <definedName name="gal_to_m3">#REF!</definedName>
    <definedName name="HP_to_kW">#REF!</definedName>
    <definedName name="hr_to_min">#REF!</definedName>
    <definedName name="input_acres_per_year">#REF!</definedName>
    <definedName name="input_alf_adoption">#REF!</definedName>
    <definedName name="input_bag_hhv">'[1]Detailed Inputs'!#REF!</definedName>
    <definedName name="input_bag_spec_heat">[1]Properties!$I$9</definedName>
    <definedName name="input_bagasse">'[1]Detailed Inputs'!$K$38</definedName>
    <definedName name="input_barley_adoption">#REF!</definedName>
    <definedName name="input_corn_adoption">#REF!</definedName>
    <definedName name="input_cotton_adoption">#REF!</definedName>
    <definedName name="input_guar_adoption">#REF!</definedName>
    <definedName name="input_guay_adoption">'[1]Detailed Inputs'!$K$116</definedName>
    <definedName name="input_guay_density">[1]Properties!$I$6</definedName>
    <definedName name="input_guay_moisture">'[1]Detailed Inputs'!$K$39</definedName>
    <definedName name="input_guay_spec_heat">[1]Properties!$I$7</definedName>
    <definedName name="input_harvest_density">#REF!</definedName>
    <definedName name="input_harvest_productivity">#REF!</definedName>
    <definedName name="input_harvest_yeild">'[1]Detailed Inputs'!$K$35</definedName>
    <definedName name="input_processing_endosperm_fraction">#REF!</definedName>
    <definedName name="input_processing_germ_fraction">#REF!</definedName>
    <definedName name="input_processing_hull_fraction">#REF!</definedName>
    <definedName name="input_processing_mass_loss">#REF!</definedName>
    <definedName name="input_processing_residual_crop_matter">#REF!</definedName>
    <definedName name="input_res_spec_heat">[1]Properties!$I$10</definedName>
    <definedName name="input_resin">'[1]Detailed Inputs'!$K$37</definedName>
    <definedName name="input_rub_spec_heat">[1]Properties!$I$13</definedName>
    <definedName name="input_rubber">'[1]Detailed Inputs'!$K$36</definedName>
    <definedName name="input_sorghum_adoption">#REF!</definedName>
    <definedName name="input_wheat_adoption">#REF!</definedName>
    <definedName name="input_wheat_alf_adoption">#REF!</definedName>
    <definedName name="kg_to_g">#REF!</definedName>
    <definedName name="kg_to_lbs">#REF!</definedName>
    <definedName name="kJ_to_J">#REF!</definedName>
    <definedName name="kJ_to_kWh">#REF!</definedName>
    <definedName name="kWh_to_MJ">#REF!</definedName>
    <definedName name="lbs_to_grams">#REF!</definedName>
    <definedName name="LCI_actone">[1]Figures!$B$133</definedName>
    <definedName name="LCI_electricity">[1]Figures!$B$130</definedName>
    <definedName name="LCI_hexane">[1]Figures!$B$132</definedName>
    <definedName name="LCI_mineral_oil">[1]Figures!$B$134</definedName>
    <definedName name="LCI_natural_gas">[1]Figures!$B$131</definedName>
    <definedName name="m3_to_liters">#REF!</definedName>
    <definedName name="min_to_sec">#REF!</definedName>
    <definedName name="op_annual_processing">#REF!</definedName>
    <definedName name="op_annual_production">#REF!</definedName>
    <definedName name="op_days_per_yr">#REF!</definedName>
    <definedName name="op_hrs_per_shift">#REF!</definedName>
    <definedName name="op_shifts_per_day">#REF!</definedName>
    <definedName name="output_bagasse">'[1]Data Repository'!$G$13</definedName>
    <definedName name="output_farm_npv">#REF!</definedName>
    <definedName name="output_LCA_acid">#REF!</definedName>
    <definedName name="output_LCA_carcin">#REF!</definedName>
    <definedName name="output_LCA_ecotox">#REF!</definedName>
    <definedName name="output_LCA_eutro">#REF!</definedName>
    <definedName name="output_LCA_GWP">#REF!</definedName>
    <definedName name="output_LCA_non_carcin">#REF!</definedName>
    <definedName name="output_LCA_ozone_dep">#REF!</definedName>
    <definedName name="output_LCA_ozone_form">#REF!</definedName>
    <definedName name="output_LCA_resource_dep">#REF!</definedName>
    <definedName name="output_LCA_resp">#REF!</definedName>
    <definedName name="output_packaged_gum">#REF!</definedName>
    <definedName name="output_processing_plant_npv">#REF!</definedName>
    <definedName name="output_protein">#REF!</definedName>
    <definedName name="_xlnm.Print_Area" localSheetId="22">'Chem-Fallow'!#REF!</definedName>
    <definedName name="_xlnm.Print_Area" localSheetId="15">ChickpeaAfterCereal!#REF!</definedName>
    <definedName name="_xlnm.Print_Area" localSheetId="14">ChickpeaAfterForageCrop!#REF!</definedName>
    <definedName name="_xlnm.Print_Area" localSheetId="12">DNSpringWheatAfterForageCrop!#REF!</definedName>
    <definedName name="_xlnm.Print_Area" localSheetId="13">DNSpringWheatAfterWinterCrop!#REF!</definedName>
    <definedName name="_xlnm.Print_Area" localSheetId="11">DNSpringWinterAfterSpringLegume!$A$2:$F$138</definedName>
    <definedName name="_xlnm.Print_Area" localSheetId="23">'Flex-Fallow'!#REF!</definedName>
    <definedName name="_xlnm.Print_Area" localSheetId="32">ForageCrop!#REF!</definedName>
    <definedName name="_xlnm.Print_Area" localSheetId="18">'ForageCrop-Genesee'!$A$2:$F$138</definedName>
    <definedName name="_xlnm.Print_Area" localSheetId="17">'ForageCrop-StJohn'!$A$2:$F$138</definedName>
    <definedName name="_xlnm.Print_Area" localSheetId="29">HRWinterWheat!#REF!</definedName>
    <definedName name="_xlnm.Print_Area" localSheetId="0">Introduction!$A$1:$M$30</definedName>
    <definedName name="_xlnm.Print_Area" localSheetId="19">LivestockGrazing!$A$2:$F$140</definedName>
    <definedName name="_xlnm.Print_Area" localSheetId="24">SpringBarley!#REF!</definedName>
    <definedName name="_xlnm.Print_Area" localSheetId="26">SpringCanola!#REF!</definedName>
    <definedName name="_xlnm.Print_Area" localSheetId="25">'SpringCanola_R-Ready'!#REF!</definedName>
    <definedName name="_xlnm.Print_Area" localSheetId="27">SpringLentils!#REF!</definedName>
    <definedName name="_xlnm.Print_Area" localSheetId="16">SpringPeaAfterCereal!#REF!</definedName>
    <definedName name="_xlnm.Print_Area" localSheetId="28">SWSpringWheat!$A$2:$F$138</definedName>
    <definedName name="_xlnm.Print_Area" localSheetId="20">SWWinterWheatafterCereal!$A$2:$F$138</definedName>
    <definedName name="_xlnm.Print_Area" localSheetId="21">SWWinterWheatAfterFallow!$A$2:$F$138</definedName>
    <definedName name="_xlnm.Print_Area" localSheetId="10">SWWinterWheatAfterForageCrop!$A$2:$F$138</definedName>
    <definedName name="_xlnm.Print_Area" localSheetId="9">SWWinterWheatAfterSpringLegume!$A$2:$F$138</definedName>
    <definedName name="_xlnm.Print_Area" localSheetId="31">WinterCanola!#REF!</definedName>
    <definedName name="_xlnm.Print_Area" localSheetId="30">WinterPea!#REF!</definedName>
    <definedName name="process_elec_air_conveyor">#REF!</definedName>
    <definedName name="process_elec_belt_conveyor">#REF!</definedName>
    <definedName name="process_elec_centrifuge">'[1]Detailed Inputs'!$K$135</definedName>
    <definedName name="process_elec_hammer_mill">#REF!</definedName>
    <definedName name="process_elec_mill">'[1]Detailed Inputs'!$K$130</definedName>
    <definedName name="process_elec_mineral_oil_pump">'[1]Detailed Inputs'!$K$139</definedName>
    <definedName name="process_elec_mix_tank">'[1]Detailed Inputs'!$K$133</definedName>
    <definedName name="process_elec_mixer_settler">'[1]Detailed Inputs'!$K$136</definedName>
    <definedName name="process_elec_screw_press">'[1]Detailed Inputs'!$K$137</definedName>
    <definedName name="process_elec_shaker_table">#REF!</definedName>
    <definedName name="process_elec_shredder">'[1]Detailed Inputs'!$K$128</definedName>
    <definedName name="process_elec_slurry_pump">'[1]Detailed Inputs'!$K$134</definedName>
    <definedName name="process_elec_solvent_pump">'[1]Detailed Inputs'!$K$132</definedName>
    <definedName name="process_elec_water_pump">'[1]Detailed Inputs'!$K$138</definedName>
    <definedName name="process_energy_heating_efficiency">#REF!</definedName>
    <definedName name="process_extractor_liquid">'[1]Detailed Inputs'!$K$145</definedName>
    <definedName name="process_facility_land_size">#REF!</definedName>
    <definedName name="process_flaking_mill_power">#REF!</definedName>
    <definedName name="process_flow_centrifuge">'[1]Detailed Inputs'!$K$148</definedName>
    <definedName name="process_flow_mineral_oil_pump">'[1]Detailed Inputs'!$K$156</definedName>
    <definedName name="process_flow_mixer_settler">'[1]Detailed Inputs'!$K$150</definedName>
    <definedName name="process_flow_screw_press">'[1]Detailed Inputs'!$K$154</definedName>
    <definedName name="process_flow_slurry_pump">'[1]Detailed Inputs'!$K$147</definedName>
    <definedName name="process_flow_solvent_pump">'[1]Detailed Inputs'!$K$140</definedName>
    <definedName name="process_flow_water_pump">'[1]Detailed Inputs'!$K$155</definedName>
    <definedName name="process_heat_exchanger_eff">'[1]Detailed Inputs'!$K$158</definedName>
    <definedName name="process_heat_treatment_water_pump_power">#REF!</definedName>
    <definedName name="process_heat_treatment_water_required">#REF!</definedName>
    <definedName name="process_hexane_to_solvent">'[1]Detailed Inputs'!$K$24</definedName>
    <definedName name="process_hydration_bath_pump_power">#REF!</definedName>
    <definedName name="process_hydration_bath_water_final_percent">#REF!</definedName>
    <definedName name="process_hydration_bath_water_initial_percent">#REF!</definedName>
    <definedName name="process_hydration_bath_water_required">#REF!</definedName>
    <definedName name="process_min_oil_recovery">'[1]Detailed Inputs'!$K$32</definedName>
    <definedName name="process_mix_tank_depth">'[1]Detailed Inputs'!$K$144</definedName>
    <definedName name="process_mix_tank_rad">'[1]Detailed Inputs'!$K$143</definedName>
    <definedName name="process_mix_tank_residence">'[1]Detailed Inputs'!$K$142</definedName>
    <definedName name="process_ng_heating_efficiency">'[1]Detailed Inputs'!$K$33</definedName>
    <definedName name="process_office_space">#REF!</definedName>
    <definedName name="process_oil_hex_strip_eff">'[1]Detailed Inputs'!$K$31</definedName>
    <definedName name="process_polisher_power">#REF!</definedName>
    <definedName name="process_processing_structure">#REF!</definedName>
    <definedName name="process_resin_dist_eff">'[1]Detailed Inputs'!$K$28</definedName>
    <definedName name="process_screw_press_removal_eff">'[1]Detailed Inputs'!$K$151</definedName>
    <definedName name="process_screw_press_solvent_vapor">'[1]Detailed Inputs'!$K$152</definedName>
    <definedName name="process_screw_press_water_vapor">'[1]Detailed Inputs'!$K$153</definedName>
    <definedName name="process_scrub_water_to_ace">'[1]Detailed Inputs'!$K$26</definedName>
    <definedName name="process_shaker_table_power">#REF!</definedName>
    <definedName name="process_solvent_mix_tank">'[1]Detailed Inputs'!$K$141</definedName>
    <definedName name="process_solvent_to_biomass">'[1]Detailed Inputs'!$K$22</definedName>
    <definedName name="process_spray_dry_final_percent">#REF!</definedName>
    <definedName name="process_spray_dryer_power">#REF!</definedName>
    <definedName name="process_steam_jet_power">#REF!</definedName>
    <definedName name="process_storage_space">#REF!</definedName>
    <definedName name="process_tray_dryer_eff">'[1]Detailed Inputs'!$K$149</definedName>
    <definedName name="process_up_time_days">'[1]Detailed Inputs'!$K$14</definedName>
    <definedName name="process_up_time_hours">#REF!</definedName>
    <definedName name="process_up_time_shifts">#REF!</definedName>
    <definedName name="process_water_absorption_efficiency">#REF!</definedName>
    <definedName name="process_water_ace_dist_eff">'[1]Detailed Inputs'!$K$29</definedName>
    <definedName name="process_water_heat_treatment_final_percent">#REF!</definedName>
    <definedName name="process_water_heat_treatment_initial_percent">#REF!</definedName>
    <definedName name="prop_HHV_diesel">#REF!</definedName>
    <definedName name="prop_HHV_gas">#REF!</definedName>
    <definedName name="prop_HHV_jetfuel">#REF!</definedName>
    <definedName name="prop_HHV_naphtha">#REF!</definedName>
    <definedName name="prop_HHV_NG_mass">#REF!</definedName>
    <definedName name="prop_HHV_NG_volume">#REF!</definedName>
    <definedName name="prop_rho_NG">#REF!</definedName>
    <definedName name="prop_rho_water">#REF!</definedName>
    <definedName name="prop_water_heat_vaporization">#REF!</definedName>
    <definedName name="prop_water_molecular_weight">#REF!</definedName>
    <definedName name="property_ace_boiling_point">[1]Properties!$I$19</definedName>
    <definedName name="property_ace_density">[1]Properties!$I$20</definedName>
    <definedName name="property_ace_heat_of_vap">[1]Properties!$I$21</definedName>
    <definedName name="property_ace_mol_weight">[1]Properties!$I$23</definedName>
    <definedName name="property_ace_spec_heat">[1]Properties!$I$24</definedName>
    <definedName name="property_hex_boiling_pt">[1]Properties!$I$27</definedName>
    <definedName name="property_hex_density">[1]Properties!$I$28</definedName>
    <definedName name="property_hex_heat_of_vap">[1]Properties!$I$29</definedName>
    <definedName name="property_hex_spec_heat">[1]Properties!$I$32</definedName>
    <definedName name="property_mineral_oil_spec_heat">[1]Properties!$I$35</definedName>
    <definedName name="property_ng_heat_per_volume">[1]Properties!$I$39</definedName>
    <definedName name="property_ng_hhv">[1]Properties!$I$38</definedName>
    <definedName name="property_oil_density">[1]Properties!$I$34</definedName>
    <definedName name="property_water_boiling_point">[1]Properties!$I$40</definedName>
    <definedName name="property_water_density">[1]Properties!$I$41</definedName>
    <definedName name="property_water_heat_of_vap">[1]Properties!$I$44</definedName>
    <definedName name="property_water_mol_weight">[1]Properties!$I$42</definedName>
    <definedName name="property_water_spec_heat">[1]Properties!$I$43</definedName>
    <definedName name="scenario_alf_adoption">#REF!</definedName>
    <definedName name="scenario_bagasse_selling_price">'[1]Scenario Inputs'!$D$8</definedName>
    <definedName name="scenario_barley_adoption">#REF!</definedName>
    <definedName name="scenario_corn_adoption">#REF!</definedName>
    <definedName name="scenario_cotton_adoption">#REF!</definedName>
    <definedName name="scenario_guar_adoption">#REF!</definedName>
    <definedName name="scenario_guar_gum_selling_price">#REF!</definedName>
    <definedName name="scenario_guar_selling_price">#REF!</definedName>
    <definedName name="scenario_guay_adoption">'[1]Scenario Inputs'!$C$21</definedName>
    <definedName name="scenario_guay_selling_price">'[1]Scenario Inputs'!$D$7</definedName>
    <definedName name="scenario_protein_selling_price">#REF!</definedName>
    <definedName name="scenario_resin_selling_price">'[1]Scenario Inputs'!$D$9</definedName>
    <definedName name="scenario_rubber_selling_price">'[1]Scenario Inputs'!$D$10</definedName>
    <definedName name="scenario_sorghum_adoption">#REF!</definedName>
    <definedName name="scenario_wheat_adoption">#REF!</definedName>
    <definedName name="scenario_wheat_alf_adoption">#REF!</definedName>
    <definedName name="sensitivity_baseline_acid">#REF!</definedName>
    <definedName name="sensitivity_baseline_carcin">#REF!</definedName>
    <definedName name="sensitivity_baseline_ecotox">#REF!</definedName>
    <definedName name="sensitivity_baseline_eutro">#REF!</definedName>
    <definedName name="sensitivity_baseline_GWP">#REF!</definedName>
    <definedName name="sensitivity_baseline_non_carcin">#REF!</definedName>
    <definedName name="sensitivity_baseline_ozone_dep">#REF!</definedName>
    <definedName name="sensitivity_baseline_ozone_form">#REF!</definedName>
    <definedName name="sensitivity_baseline_resource_dep">#REF!</definedName>
    <definedName name="sensitivity_baseline_resp">#REF!</definedName>
    <definedName name="sensitivity_baseline_value">#REF!</definedName>
    <definedName name="sensitivity_percent">#REF!</definedName>
    <definedName name="SWWW_Fallow">'Farm and Rotation Setup'!$BF$5</definedName>
    <definedName name="tonne_to_ton">#REF!</definedName>
    <definedName name="tonnes_to_kgs">#REF!</definedName>
    <definedName name="tons_to_kg">#REF!</definedName>
    <definedName name="tons_to_lbs">#REF!</definedName>
    <definedName name="x">#REF!</definedName>
    <definedName name="xx">#REF!</definedName>
    <definedName name="xxx">#REF!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y">#REF!</definedName>
    <definedName name="yy">#REF!</definedName>
    <definedName name="yyy">#REF!</definedName>
    <definedName name="yyyy">#REF!</definedName>
    <definedName name="yyyyy">#REF!</definedName>
    <definedName name="yyyyyy">#REF!</definedName>
    <definedName name="yyyyyyy">#REF!</definedName>
    <definedName name="yyyyyyyy">#REF!</definedName>
    <definedName name="yyyyyyyyy">#REF!</definedName>
    <definedName name="yyyyyyyyyy">#REF!</definedName>
    <definedName name="yyyyyyyyyyy">#REF!</definedName>
    <definedName name="z">#REF!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I8" i="94" l="1"/>
  <c r="JY27" i="94"/>
  <c r="JX27" i="94"/>
  <c r="JW27" i="94"/>
  <c r="JV27" i="94"/>
  <c r="JU27" i="94"/>
  <c r="JT27" i="94"/>
  <c r="JS27" i="94"/>
  <c r="JR27" i="94"/>
  <c r="JQ27" i="94"/>
  <c r="JP27" i="94"/>
  <c r="JO27" i="94"/>
  <c r="JN27" i="94"/>
  <c r="JM27" i="94"/>
  <c r="JL27" i="94"/>
  <c r="JK27" i="94"/>
  <c r="JJ27" i="94"/>
  <c r="JI27" i="94"/>
  <c r="JH27" i="94"/>
  <c r="JG27" i="94"/>
  <c r="JF27" i="94"/>
  <c r="JE27" i="94"/>
  <c r="JD27" i="94"/>
  <c r="JC27" i="94"/>
  <c r="JB27" i="94"/>
  <c r="JY26" i="94"/>
  <c r="JX26" i="94"/>
  <c r="JW26" i="94"/>
  <c r="JV26" i="94"/>
  <c r="JU26" i="94"/>
  <c r="JT26" i="94"/>
  <c r="JS26" i="94"/>
  <c r="JR26" i="94"/>
  <c r="JQ26" i="94"/>
  <c r="JP26" i="94"/>
  <c r="JO26" i="94"/>
  <c r="JN26" i="94"/>
  <c r="JM26" i="94"/>
  <c r="JL26" i="94"/>
  <c r="JK26" i="94"/>
  <c r="JJ26" i="94"/>
  <c r="JI26" i="94"/>
  <c r="JH26" i="94"/>
  <c r="JG26" i="94"/>
  <c r="JF26" i="94"/>
  <c r="JE26" i="94"/>
  <c r="JD26" i="94"/>
  <c r="JC26" i="94"/>
  <c r="JB26" i="94"/>
  <c r="JY25" i="94"/>
  <c r="JX25" i="94"/>
  <c r="JW25" i="94"/>
  <c r="JV25" i="94"/>
  <c r="JU25" i="94"/>
  <c r="JT25" i="94"/>
  <c r="JS25" i="94"/>
  <c r="JR25" i="94"/>
  <c r="JQ25" i="94"/>
  <c r="JP25" i="94"/>
  <c r="JO25" i="94"/>
  <c r="JN25" i="94"/>
  <c r="JM25" i="94"/>
  <c r="JL25" i="94"/>
  <c r="JK25" i="94"/>
  <c r="JJ25" i="94"/>
  <c r="JI25" i="94"/>
  <c r="JH25" i="94"/>
  <c r="JG25" i="94"/>
  <c r="JF25" i="94"/>
  <c r="JE25" i="94"/>
  <c r="JD25" i="94"/>
  <c r="JC25" i="94"/>
  <c r="JB25" i="94"/>
  <c r="JY24" i="94"/>
  <c r="JX24" i="94"/>
  <c r="JW24" i="94"/>
  <c r="JV24" i="94"/>
  <c r="JU24" i="94"/>
  <c r="JT24" i="94"/>
  <c r="JS24" i="94"/>
  <c r="JR24" i="94"/>
  <c r="JQ24" i="94"/>
  <c r="JP24" i="94"/>
  <c r="JO24" i="94"/>
  <c r="JN24" i="94"/>
  <c r="JM24" i="94"/>
  <c r="JL24" i="94"/>
  <c r="JK24" i="94"/>
  <c r="JJ24" i="94"/>
  <c r="JI24" i="94"/>
  <c r="JH24" i="94"/>
  <c r="JG24" i="94"/>
  <c r="JF24" i="94"/>
  <c r="JE24" i="94"/>
  <c r="JD24" i="94"/>
  <c r="JC24" i="94"/>
  <c r="JB24" i="94"/>
  <c r="JY23" i="94"/>
  <c r="JX23" i="94"/>
  <c r="JW23" i="94"/>
  <c r="JV23" i="94"/>
  <c r="JU23" i="94"/>
  <c r="JT23" i="94"/>
  <c r="JS23" i="94"/>
  <c r="JR23" i="94"/>
  <c r="JQ23" i="94"/>
  <c r="JP23" i="94"/>
  <c r="JO23" i="94"/>
  <c r="JN23" i="94"/>
  <c r="JM23" i="94"/>
  <c r="JL23" i="94"/>
  <c r="JK23" i="94"/>
  <c r="JJ23" i="94"/>
  <c r="JI23" i="94"/>
  <c r="JH23" i="94"/>
  <c r="JG23" i="94"/>
  <c r="JF23" i="94"/>
  <c r="JE23" i="94"/>
  <c r="JD23" i="94"/>
  <c r="JC23" i="94"/>
  <c r="JB23" i="94"/>
  <c r="JY18" i="94"/>
  <c r="JX18" i="94"/>
  <c r="JW18" i="94"/>
  <c r="JV18" i="94"/>
  <c r="JU18" i="94"/>
  <c r="JT18" i="94"/>
  <c r="JS18" i="94"/>
  <c r="JR18" i="94"/>
  <c r="JQ18" i="94"/>
  <c r="JP18" i="94"/>
  <c r="JO18" i="94"/>
  <c r="JN18" i="94"/>
  <c r="JM18" i="94"/>
  <c r="JL18" i="94"/>
  <c r="JK18" i="94"/>
  <c r="JJ18" i="94"/>
  <c r="JI18" i="94"/>
  <c r="JH18" i="94"/>
  <c r="JG18" i="94"/>
  <c r="JF18" i="94"/>
  <c r="JE18" i="94"/>
  <c r="JD18" i="94"/>
  <c r="JC18" i="94"/>
  <c r="JB18" i="94"/>
  <c r="JY17" i="94"/>
  <c r="JX17" i="94"/>
  <c r="JW17" i="94"/>
  <c r="JV17" i="94"/>
  <c r="JU17" i="94"/>
  <c r="JT17" i="94"/>
  <c r="JS17" i="94"/>
  <c r="JR17" i="94"/>
  <c r="JQ17" i="94"/>
  <c r="JP17" i="94"/>
  <c r="JO17" i="94"/>
  <c r="JN17" i="94"/>
  <c r="JM17" i="94"/>
  <c r="JL17" i="94"/>
  <c r="JK17" i="94"/>
  <c r="JJ17" i="94"/>
  <c r="JI17" i="94"/>
  <c r="JH17" i="94"/>
  <c r="JG17" i="94"/>
  <c r="JF17" i="94"/>
  <c r="JE17" i="94"/>
  <c r="JD17" i="94"/>
  <c r="JC17" i="94"/>
  <c r="JB17" i="94"/>
  <c r="JY16" i="94"/>
  <c r="JX16" i="94"/>
  <c r="JW16" i="94"/>
  <c r="JV16" i="94"/>
  <c r="JU16" i="94"/>
  <c r="JT16" i="94"/>
  <c r="JS16" i="94"/>
  <c r="JR16" i="94"/>
  <c r="JQ16" i="94"/>
  <c r="JP16" i="94"/>
  <c r="JO16" i="94"/>
  <c r="JN16" i="94"/>
  <c r="JM16" i="94"/>
  <c r="JL16" i="94"/>
  <c r="JK16" i="94"/>
  <c r="JJ16" i="94"/>
  <c r="JI16" i="94"/>
  <c r="JH16" i="94"/>
  <c r="JG16" i="94"/>
  <c r="JF16" i="94"/>
  <c r="JE16" i="94"/>
  <c r="JD16" i="94"/>
  <c r="JC16" i="94"/>
  <c r="JB16" i="94"/>
  <c r="JY15" i="94"/>
  <c r="JX15" i="94"/>
  <c r="JW15" i="94"/>
  <c r="JV15" i="94"/>
  <c r="JU15" i="94"/>
  <c r="JT15" i="94"/>
  <c r="JS15" i="94"/>
  <c r="JR15" i="94"/>
  <c r="JQ15" i="94"/>
  <c r="JP15" i="94"/>
  <c r="JO15" i="94"/>
  <c r="JN15" i="94"/>
  <c r="JM15" i="94"/>
  <c r="JL15" i="94"/>
  <c r="JK15" i="94"/>
  <c r="JJ15" i="94"/>
  <c r="JI15" i="94"/>
  <c r="JH15" i="94"/>
  <c r="JG15" i="94"/>
  <c r="JF15" i="94"/>
  <c r="JE15" i="94"/>
  <c r="JD15" i="94"/>
  <c r="JC15" i="94"/>
  <c r="JB15" i="94"/>
  <c r="JY14" i="94"/>
  <c r="JX14" i="94"/>
  <c r="JW14" i="94"/>
  <c r="JV14" i="94"/>
  <c r="JU14" i="94"/>
  <c r="JT14" i="94"/>
  <c r="JS14" i="94"/>
  <c r="JR14" i="94"/>
  <c r="JQ14" i="94"/>
  <c r="JP14" i="94"/>
  <c r="JO14" i="94"/>
  <c r="JN14" i="94"/>
  <c r="JM14" i="94"/>
  <c r="JL14" i="94"/>
  <c r="JK14" i="94"/>
  <c r="JJ14" i="94"/>
  <c r="JI14" i="94"/>
  <c r="JH14" i="94"/>
  <c r="JG14" i="94"/>
  <c r="JF14" i="94"/>
  <c r="JE14" i="94"/>
  <c r="JD14" i="94"/>
  <c r="JC14" i="94"/>
  <c r="JB14" i="94"/>
  <c r="JY9" i="94"/>
  <c r="JX9" i="94"/>
  <c r="JW9" i="94"/>
  <c r="JV9" i="94"/>
  <c r="JU9" i="94"/>
  <c r="JT9" i="94"/>
  <c r="JS9" i="94"/>
  <c r="JR9" i="94"/>
  <c r="JQ9" i="94"/>
  <c r="JP9" i="94"/>
  <c r="JO9" i="94"/>
  <c r="JN9" i="94"/>
  <c r="JM9" i="94"/>
  <c r="JL9" i="94"/>
  <c r="JK9" i="94"/>
  <c r="JJ9" i="94"/>
  <c r="JI9" i="94"/>
  <c r="JH9" i="94"/>
  <c r="JG9" i="94"/>
  <c r="JF9" i="94"/>
  <c r="JE9" i="94"/>
  <c r="JD9" i="94"/>
  <c r="JC9" i="94"/>
  <c r="JB9" i="94"/>
  <c r="JY8" i="94"/>
  <c r="JX8" i="94"/>
  <c r="JW8" i="94"/>
  <c r="JV8" i="94"/>
  <c r="JU8" i="94"/>
  <c r="JT8" i="94"/>
  <c r="JS8" i="94"/>
  <c r="JR8" i="94"/>
  <c r="JQ8" i="94"/>
  <c r="JP8" i="94"/>
  <c r="JO8" i="94"/>
  <c r="JN8" i="94"/>
  <c r="JM8" i="94"/>
  <c r="JL8" i="94"/>
  <c r="JK8" i="94"/>
  <c r="JJ8" i="94"/>
  <c r="JH8" i="94"/>
  <c r="JG8" i="94"/>
  <c r="JF8" i="94"/>
  <c r="JE8" i="94"/>
  <c r="JD8" i="94"/>
  <c r="JC8" i="94"/>
  <c r="JB8" i="94"/>
  <c r="JY7" i="94"/>
  <c r="JX7" i="94"/>
  <c r="JW7" i="94"/>
  <c r="JV7" i="94"/>
  <c r="JU7" i="94"/>
  <c r="JT7" i="94"/>
  <c r="JS7" i="94"/>
  <c r="JR7" i="94"/>
  <c r="JQ7" i="94"/>
  <c r="JP7" i="94"/>
  <c r="JO7" i="94"/>
  <c r="JN7" i="94"/>
  <c r="JM7" i="94"/>
  <c r="JL7" i="94"/>
  <c r="JK7" i="94"/>
  <c r="JJ7" i="94"/>
  <c r="JI7" i="94"/>
  <c r="JH7" i="94"/>
  <c r="JG7" i="94"/>
  <c r="JF7" i="94"/>
  <c r="JE7" i="94"/>
  <c r="JD7" i="94"/>
  <c r="JC7" i="94"/>
  <c r="JB7" i="94"/>
  <c r="JY6" i="94"/>
  <c r="JX6" i="94"/>
  <c r="JW6" i="94"/>
  <c r="JV6" i="94"/>
  <c r="JU6" i="94"/>
  <c r="JT6" i="94"/>
  <c r="JS6" i="94"/>
  <c r="JR6" i="94"/>
  <c r="JQ6" i="94"/>
  <c r="JP6" i="94"/>
  <c r="JO6" i="94"/>
  <c r="JN6" i="94"/>
  <c r="JM6" i="94"/>
  <c r="JL6" i="94"/>
  <c r="JK6" i="94"/>
  <c r="JJ6" i="94"/>
  <c r="JI6" i="94"/>
  <c r="JH6" i="94"/>
  <c r="JG6" i="94"/>
  <c r="JF6" i="94"/>
  <c r="JE6" i="94"/>
  <c r="JD6" i="94"/>
  <c r="JC6" i="94"/>
  <c r="JB6" i="94"/>
  <c r="JY5" i="94"/>
  <c r="JX5" i="94"/>
  <c r="JW5" i="94"/>
  <c r="JV5" i="94"/>
  <c r="JU5" i="94"/>
  <c r="JT5" i="94"/>
  <c r="JS5" i="94"/>
  <c r="JR5" i="94"/>
  <c r="JQ5" i="94"/>
  <c r="JP5" i="94"/>
  <c r="JO5" i="94"/>
  <c r="JN5" i="94"/>
  <c r="JM5" i="94"/>
  <c r="JL5" i="94"/>
  <c r="JK5" i="94"/>
  <c r="JJ5" i="94"/>
  <c r="JI5" i="94"/>
  <c r="JH5" i="94"/>
  <c r="JG5" i="94"/>
  <c r="JF5" i="94"/>
  <c r="JE5" i="94"/>
  <c r="JD5" i="94"/>
  <c r="JC5" i="94"/>
  <c r="JB5" i="94"/>
  <c r="G8" i="145"/>
  <c r="G9" i="145"/>
  <c r="G10" i="145"/>
  <c r="G11" i="145"/>
  <c r="G7" i="145"/>
  <c r="E8" i="145"/>
  <c r="E9" i="145"/>
  <c r="E10" i="145"/>
  <c r="E11" i="145"/>
  <c r="B15" i="113"/>
  <c r="B14" i="113"/>
  <c r="B13" i="113"/>
  <c r="B12" i="113"/>
  <c r="B11" i="113"/>
  <c r="B10" i="113"/>
  <c r="B9" i="113"/>
  <c r="B15" i="140"/>
  <c r="B14" i="140"/>
  <c r="B13" i="140"/>
  <c r="B12" i="140"/>
  <c r="B11" i="140"/>
  <c r="B10" i="140"/>
  <c r="B9" i="140"/>
  <c r="B15" i="138"/>
  <c r="B14" i="138"/>
  <c r="B13" i="138"/>
  <c r="B12" i="138"/>
  <c r="B11" i="138"/>
  <c r="B10" i="138"/>
  <c r="B9" i="138"/>
  <c r="B15" i="124"/>
  <c r="B14" i="124"/>
  <c r="B13" i="124"/>
  <c r="B12" i="124"/>
  <c r="B11" i="124"/>
  <c r="B10" i="124"/>
  <c r="B9" i="124"/>
  <c r="B15" i="116"/>
  <c r="B14" i="116"/>
  <c r="B13" i="116"/>
  <c r="B12" i="116"/>
  <c r="B11" i="116"/>
  <c r="B10" i="116"/>
  <c r="B9" i="116"/>
  <c r="B15" i="117"/>
  <c r="B14" i="117"/>
  <c r="B13" i="117"/>
  <c r="B12" i="117"/>
  <c r="B11" i="117"/>
  <c r="B10" i="117"/>
  <c r="B9" i="117"/>
  <c r="B15" i="97"/>
  <c r="B14" i="97"/>
  <c r="B13" i="97"/>
  <c r="B12" i="97"/>
  <c r="B11" i="97"/>
  <c r="B10" i="97"/>
  <c r="B9" i="97"/>
  <c r="B15" i="139"/>
  <c r="B14" i="139"/>
  <c r="B13" i="139"/>
  <c r="B12" i="139"/>
  <c r="B11" i="139"/>
  <c r="B10" i="139"/>
  <c r="B9" i="139"/>
  <c r="B15" i="91"/>
  <c r="B14" i="91"/>
  <c r="B13" i="91"/>
  <c r="B12" i="91"/>
  <c r="B11" i="91"/>
  <c r="B10" i="91"/>
  <c r="B9" i="91"/>
  <c r="B15" i="136"/>
  <c r="B14" i="136"/>
  <c r="B13" i="136"/>
  <c r="B12" i="136"/>
  <c r="B11" i="136"/>
  <c r="B10" i="136"/>
  <c r="B9" i="136"/>
  <c r="B15" i="99"/>
  <c r="B14" i="99"/>
  <c r="B13" i="99"/>
  <c r="B12" i="99"/>
  <c r="B11" i="99"/>
  <c r="B10" i="99"/>
  <c r="B9" i="99"/>
  <c r="B15" i="86"/>
  <c r="B14" i="86"/>
  <c r="B13" i="86"/>
  <c r="B12" i="86"/>
  <c r="B11" i="86"/>
  <c r="B10" i="86"/>
  <c r="B9" i="86"/>
  <c r="B15" i="132"/>
  <c r="B14" i="132"/>
  <c r="B13" i="132"/>
  <c r="B12" i="132"/>
  <c r="B11" i="132"/>
  <c r="B10" i="132"/>
  <c r="B9" i="132"/>
  <c r="B15" i="120"/>
  <c r="B14" i="120"/>
  <c r="B13" i="120"/>
  <c r="B12" i="120"/>
  <c r="B11" i="120"/>
  <c r="B10" i="120"/>
  <c r="B9" i="120"/>
  <c r="B15" i="119"/>
  <c r="B14" i="119"/>
  <c r="B13" i="119"/>
  <c r="B12" i="119"/>
  <c r="B11" i="119"/>
  <c r="B10" i="119"/>
  <c r="B9" i="119"/>
  <c r="B15" i="118"/>
  <c r="B14" i="118"/>
  <c r="B13" i="118"/>
  <c r="B12" i="118"/>
  <c r="B11" i="118"/>
  <c r="B10" i="118"/>
  <c r="B9" i="118"/>
  <c r="B15" i="137"/>
  <c r="B14" i="137"/>
  <c r="B13" i="137"/>
  <c r="B12" i="137"/>
  <c r="B11" i="137"/>
  <c r="B10" i="137"/>
  <c r="B9" i="137"/>
  <c r="B15" i="123"/>
  <c r="B14" i="123"/>
  <c r="B13" i="123"/>
  <c r="B12" i="123"/>
  <c r="B11" i="123"/>
  <c r="B10" i="123"/>
  <c r="B9" i="123"/>
  <c r="B15" i="96"/>
  <c r="B14" i="96"/>
  <c r="B13" i="96"/>
  <c r="B12" i="96"/>
  <c r="B11" i="96"/>
  <c r="B10" i="96"/>
  <c r="B9" i="96"/>
  <c r="B15" i="95"/>
  <c r="B14" i="95"/>
  <c r="B13" i="95"/>
  <c r="B12" i="95"/>
  <c r="B11" i="95"/>
  <c r="B10" i="95"/>
  <c r="B9" i="95"/>
  <c r="B15" i="98"/>
  <c r="B14" i="98"/>
  <c r="B13" i="98"/>
  <c r="B12" i="98"/>
  <c r="B11" i="98"/>
  <c r="B10" i="98"/>
  <c r="B9" i="98"/>
  <c r="B15" i="135"/>
  <c r="B14" i="135"/>
  <c r="B13" i="135"/>
  <c r="B12" i="135"/>
  <c r="B11" i="135"/>
  <c r="B10" i="135"/>
  <c r="B9" i="135"/>
  <c r="B15" i="134"/>
  <c r="B14" i="134"/>
  <c r="B13" i="134"/>
  <c r="B12" i="134"/>
  <c r="B11" i="134"/>
  <c r="B10" i="134"/>
  <c r="B9" i="134"/>
  <c r="G7" i="94"/>
  <c r="B15" i="133" l="1"/>
  <c r="B14" i="133"/>
  <c r="B13" i="133"/>
  <c r="B11" i="133"/>
  <c r="B12" i="133"/>
  <c r="B10" i="133"/>
  <c r="B9" i="133"/>
  <c r="F27" i="94"/>
  <c r="F26" i="94"/>
  <c r="F25" i="94"/>
  <c r="F24" i="94"/>
  <c r="F23" i="94"/>
  <c r="F18" i="94"/>
  <c r="F17" i="94"/>
  <c r="F16" i="94"/>
  <c r="F15" i="94"/>
  <c r="F14" i="94"/>
  <c r="F9" i="94"/>
  <c r="F8" i="94"/>
  <c r="F7" i="94"/>
  <c r="F6" i="94"/>
  <c r="F5" i="94"/>
  <c r="G18" i="94"/>
  <c r="G17" i="94"/>
  <c r="G16" i="94"/>
  <c r="G15" i="94"/>
  <c r="G14" i="94"/>
  <c r="G9" i="94"/>
  <c r="G8" i="94"/>
  <c r="G6" i="94"/>
  <c r="G5" i="94"/>
  <c r="G10" i="94" s="1"/>
  <c r="G27" i="94"/>
  <c r="G26" i="94"/>
  <c r="G24" i="94"/>
  <c r="G23" i="94"/>
  <c r="G25" i="94"/>
  <c r="IN27" i="94"/>
  <c r="IM27" i="94"/>
  <c r="IL27" i="94"/>
  <c r="IK27" i="94"/>
  <c r="IJ27" i="94"/>
  <c r="II27" i="94"/>
  <c r="IH27" i="94"/>
  <c r="IG27" i="94"/>
  <c r="IF27" i="94"/>
  <c r="IE27" i="94"/>
  <c r="ID27" i="94"/>
  <c r="HP27" i="94"/>
  <c r="HO27" i="94"/>
  <c r="HN27" i="94"/>
  <c r="HM27" i="94"/>
  <c r="HL27" i="94"/>
  <c r="HK27" i="94"/>
  <c r="HJ27" i="94"/>
  <c r="HI27" i="94"/>
  <c r="HH27" i="94"/>
  <c r="HG27" i="94"/>
  <c r="HF27" i="94"/>
  <c r="GR27" i="94"/>
  <c r="GQ27" i="94"/>
  <c r="GP27" i="94"/>
  <c r="GO27" i="94"/>
  <c r="GN27" i="94"/>
  <c r="GM27" i="94"/>
  <c r="GL27" i="94"/>
  <c r="GK27" i="94"/>
  <c r="GJ27" i="94"/>
  <c r="GI27" i="94"/>
  <c r="GH27" i="94"/>
  <c r="FT27" i="94"/>
  <c r="FS27" i="94"/>
  <c r="FR27" i="94"/>
  <c r="FQ27" i="94"/>
  <c r="FP27" i="94"/>
  <c r="FO27" i="94"/>
  <c r="FN27" i="94"/>
  <c r="FM27" i="94"/>
  <c r="FL27" i="94"/>
  <c r="FK27" i="94"/>
  <c r="FJ27" i="94"/>
  <c r="EV27" i="94"/>
  <c r="EU27" i="94"/>
  <c r="ET27" i="94"/>
  <c r="ES27" i="94"/>
  <c r="ER27" i="94"/>
  <c r="EQ27" i="94"/>
  <c r="EP27" i="94"/>
  <c r="EO27" i="94"/>
  <c r="EN27" i="94"/>
  <c r="EM27" i="94"/>
  <c r="EL27" i="94"/>
  <c r="DX27" i="94"/>
  <c r="DW27" i="94"/>
  <c r="DV27" i="94"/>
  <c r="DU27" i="94"/>
  <c r="DT27" i="94"/>
  <c r="DS27" i="94"/>
  <c r="DR27" i="94"/>
  <c r="DQ27" i="94"/>
  <c r="DP27" i="94"/>
  <c r="DO27" i="94"/>
  <c r="DN27" i="94"/>
  <c r="CZ27" i="94"/>
  <c r="CY27" i="94"/>
  <c r="CX27" i="94"/>
  <c r="CW27" i="94"/>
  <c r="CV27" i="94"/>
  <c r="CU27" i="94"/>
  <c r="CT27" i="94"/>
  <c r="CS27" i="94"/>
  <c r="CR27" i="94"/>
  <c r="CQ27" i="94"/>
  <c r="CP27" i="94"/>
  <c r="CB27" i="94"/>
  <c r="CA27" i="94"/>
  <c r="BZ27" i="94"/>
  <c r="BY27" i="94"/>
  <c r="BX27" i="94"/>
  <c r="BW27" i="94"/>
  <c r="BV27" i="94"/>
  <c r="BU27" i="94"/>
  <c r="BT27" i="94"/>
  <c r="BS27" i="94"/>
  <c r="BR27" i="94"/>
  <c r="BD27" i="94"/>
  <c r="BC27" i="94"/>
  <c r="BB27" i="94"/>
  <c r="BA27" i="94"/>
  <c r="AZ27" i="94"/>
  <c r="AY27" i="94"/>
  <c r="AX27" i="94"/>
  <c r="AW27" i="94"/>
  <c r="AV27" i="94"/>
  <c r="AU27" i="94"/>
  <c r="AT27" i="94"/>
  <c r="AF27" i="94"/>
  <c r="AE27" i="94"/>
  <c r="AD27" i="94"/>
  <c r="AC27" i="94"/>
  <c r="AB27" i="94"/>
  <c r="AA27" i="94"/>
  <c r="Z27" i="94"/>
  <c r="Y27" i="94"/>
  <c r="X27" i="94"/>
  <c r="W27" i="94"/>
  <c r="V27" i="94"/>
  <c r="IN26" i="94"/>
  <c r="IM26" i="94"/>
  <c r="IL26" i="94"/>
  <c r="IK26" i="94"/>
  <c r="IJ26" i="94"/>
  <c r="IH26" i="94"/>
  <c r="IG26" i="94"/>
  <c r="IF26" i="94"/>
  <c r="IE26" i="94"/>
  <c r="ID26" i="94"/>
  <c r="HP26" i="94"/>
  <c r="HO26" i="94"/>
  <c r="HN26" i="94"/>
  <c r="HM26" i="94"/>
  <c r="HL26" i="94"/>
  <c r="HJ26" i="94"/>
  <c r="HI26" i="94"/>
  <c r="HH26" i="94"/>
  <c r="HG26" i="94"/>
  <c r="HF26" i="94"/>
  <c r="GR26" i="94"/>
  <c r="GQ26" i="94"/>
  <c r="GP26" i="94"/>
  <c r="GO26" i="94"/>
  <c r="GN26" i="94"/>
  <c r="GL26" i="94"/>
  <c r="GK26" i="94"/>
  <c r="GJ26" i="94"/>
  <c r="GI26" i="94"/>
  <c r="GH26" i="94"/>
  <c r="FT26" i="94"/>
  <c r="FS26" i="94"/>
  <c r="FR26" i="94"/>
  <c r="FQ26" i="94"/>
  <c r="FP26" i="94"/>
  <c r="FN26" i="94"/>
  <c r="FM26" i="94"/>
  <c r="FL26" i="94"/>
  <c r="FK26" i="94"/>
  <c r="FJ26" i="94"/>
  <c r="EV26" i="94"/>
  <c r="EU26" i="94"/>
  <c r="ET26" i="94"/>
  <c r="ES26" i="94"/>
  <c r="ER26" i="94"/>
  <c r="EP26" i="94"/>
  <c r="EO26" i="94"/>
  <c r="EN26" i="94"/>
  <c r="EM26" i="94"/>
  <c r="EL26" i="94"/>
  <c r="DX26" i="94"/>
  <c r="DW26" i="94"/>
  <c r="DV26" i="94"/>
  <c r="DU26" i="94"/>
  <c r="DT26" i="94"/>
  <c r="DR26" i="94"/>
  <c r="DQ26" i="94"/>
  <c r="DP26" i="94"/>
  <c r="DO26" i="94"/>
  <c r="DN26" i="94"/>
  <c r="CZ26" i="94"/>
  <c r="CY26" i="94"/>
  <c r="CX26" i="94"/>
  <c r="CW26" i="94"/>
  <c r="CV26" i="94"/>
  <c r="CT26" i="94"/>
  <c r="CS26" i="94"/>
  <c r="CR26" i="94"/>
  <c r="CQ26" i="94"/>
  <c r="CP26" i="94"/>
  <c r="CB26" i="94"/>
  <c r="CA26" i="94"/>
  <c r="BZ26" i="94"/>
  <c r="BY26" i="94"/>
  <c r="BX26" i="94"/>
  <c r="BV26" i="94"/>
  <c r="BU26" i="94"/>
  <c r="BT26" i="94"/>
  <c r="BS26" i="94"/>
  <c r="BR26" i="94"/>
  <c r="BD26" i="94"/>
  <c r="BC26" i="94"/>
  <c r="BB26" i="94"/>
  <c r="BA26" i="94"/>
  <c r="AZ26" i="94"/>
  <c r="AX26" i="94"/>
  <c r="AW26" i="94"/>
  <c r="AV26" i="94"/>
  <c r="AU26" i="94"/>
  <c r="AT26" i="94"/>
  <c r="AF26" i="94"/>
  <c r="AE26" i="94"/>
  <c r="AD26" i="94"/>
  <c r="AC26" i="94"/>
  <c r="AB26" i="94"/>
  <c r="Z26" i="94"/>
  <c r="Y26" i="94"/>
  <c r="X26" i="94"/>
  <c r="W26" i="94"/>
  <c r="V26" i="94"/>
  <c r="IM25" i="94"/>
  <c r="IL25" i="94"/>
  <c r="IK25" i="94"/>
  <c r="IJ25" i="94"/>
  <c r="II25" i="94"/>
  <c r="IH25" i="94"/>
  <c r="IG25" i="94"/>
  <c r="IF25" i="94"/>
  <c r="IE25" i="94"/>
  <c r="ID25" i="94"/>
  <c r="HO25" i="94"/>
  <c r="HN25" i="94"/>
  <c r="HM25" i="94"/>
  <c r="HL25" i="94"/>
  <c r="HK25" i="94"/>
  <c r="HJ25" i="94"/>
  <c r="HI25" i="94"/>
  <c r="HH25" i="94"/>
  <c r="HG25" i="94"/>
  <c r="HF25" i="94"/>
  <c r="GQ25" i="94"/>
  <c r="GP25" i="94"/>
  <c r="GO25" i="94"/>
  <c r="GN25" i="94"/>
  <c r="GM25" i="94"/>
  <c r="GL25" i="94"/>
  <c r="GK25" i="94"/>
  <c r="GJ25" i="94"/>
  <c r="GI25" i="94"/>
  <c r="GH25" i="94"/>
  <c r="FS25" i="94"/>
  <c r="FR25" i="94"/>
  <c r="FQ25" i="94"/>
  <c r="FP25" i="94"/>
  <c r="FO25" i="94"/>
  <c r="FN25" i="94"/>
  <c r="FM25" i="94"/>
  <c r="FL25" i="94"/>
  <c r="FK25" i="94"/>
  <c r="FJ25" i="94"/>
  <c r="EU25" i="94"/>
  <c r="ET25" i="94"/>
  <c r="ES25" i="94"/>
  <c r="ER25" i="94"/>
  <c r="EQ25" i="94"/>
  <c r="EP25" i="94"/>
  <c r="EO25" i="94"/>
  <c r="EN25" i="94"/>
  <c r="EM25" i="94"/>
  <c r="EL25" i="94"/>
  <c r="DW25" i="94"/>
  <c r="DV25" i="94"/>
  <c r="DU25" i="94"/>
  <c r="DT25" i="94"/>
  <c r="DS25" i="94"/>
  <c r="DR25" i="94"/>
  <c r="DQ25" i="94"/>
  <c r="DP25" i="94"/>
  <c r="DO25" i="94"/>
  <c r="DN25" i="94"/>
  <c r="CY25" i="94"/>
  <c r="CX25" i="94"/>
  <c r="CW25" i="94"/>
  <c r="CV25" i="94"/>
  <c r="CU25" i="94"/>
  <c r="CT25" i="94"/>
  <c r="CS25" i="94"/>
  <c r="CR25" i="94"/>
  <c r="CQ25" i="94"/>
  <c r="CP25" i="94"/>
  <c r="CA25" i="94"/>
  <c r="BZ25" i="94"/>
  <c r="BY25" i="94"/>
  <c r="BX25" i="94"/>
  <c r="BW25" i="94"/>
  <c r="BV25" i="94"/>
  <c r="BU25" i="94"/>
  <c r="BT25" i="94"/>
  <c r="BS25" i="94"/>
  <c r="BR25" i="94"/>
  <c r="BC25" i="94"/>
  <c r="BB25" i="94"/>
  <c r="BA25" i="94"/>
  <c r="AZ25" i="94"/>
  <c r="AY25" i="94"/>
  <c r="AX25" i="94"/>
  <c r="AW25" i="94"/>
  <c r="AV25" i="94"/>
  <c r="AU25" i="94"/>
  <c r="AT25" i="94"/>
  <c r="AE25" i="94"/>
  <c r="AD25" i="94"/>
  <c r="AC25" i="94"/>
  <c r="AB25" i="94"/>
  <c r="AA25" i="94"/>
  <c r="Z25" i="94"/>
  <c r="Y25" i="94"/>
  <c r="X25" i="94"/>
  <c r="W25" i="94"/>
  <c r="V25" i="94"/>
  <c r="IN24" i="94"/>
  <c r="IL24" i="94"/>
  <c r="IK24" i="94"/>
  <c r="IJ24" i="94"/>
  <c r="II24" i="94"/>
  <c r="IH24" i="94"/>
  <c r="IG24" i="94"/>
  <c r="IF24" i="94"/>
  <c r="IE24" i="94"/>
  <c r="ID24" i="94"/>
  <c r="HP24" i="94"/>
  <c r="HN24" i="94"/>
  <c r="HM24" i="94"/>
  <c r="HL24" i="94"/>
  <c r="HK24" i="94"/>
  <c r="HJ24" i="94"/>
  <c r="HI24" i="94"/>
  <c r="HH24" i="94"/>
  <c r="HG24" i="94"/>
  <c r="HF24" i="94"/>
  <c r="GR24" i="94"/>
  <c r="GP24" i="94"/>
  <c r="GO24" i="94"/>
  <c r="GN24" i="94"/>
  <c r="GM24" i="94"/>
  <c r="GL24" i="94"/>
  <c r="GK24" i="94"/>
  <c r="GJ24" i="94"/>
  <c r="GI24" i="94"/>
  <c r="GH24" i="94"/>
  <c r="FT24" i="94"/>
  <c r="FR24" i="94"/>
  <c r="FQ24" i="94"/>
  <c r="FP24" i="94"/>
  <c r="FO24" i="94"/>
  <c r="FN24" i="94"/>
  <c r="FM24" i="94"/>
  <c r="FL24" i="94"/>
  <c r="FK24" i="94"/>
  <c r="FJ24" i="94"/>
  <c r="EV24" i="94"/>
  <c r="ET24" i="94"/>
  <c r="ES24" i="94"/>
  <c r="ER24" i="94"/>
  <c r="EQ24" i="94"/>
  <c r="EP24" i="94"/>
  <c r="EO24" i="94"/>
  <c r="EN24" i="94"/>
  <c r="EM24" i="94"/>
  <c r="EL24" i="94"/>
  <c r="DX24" i="94"/>
  <c r="DV24" i="94"/>
  <c r="DU24" i="94"/>
  <c r="DT24" i="94"/>
  <c r="DS24" i="94"/>
  <c r="DR24" i="94"/>
  <c r="DQ24" i="94"/>
  <c r="DP24" i="94"/>
  <c r="DO24" i="94"/>
  <c r="DN24" i="94"/>
  <c r="CZ24" i="94"/>
  <c r="CX24" i="94"/>
  <c r="CW24" i="94"/>
  <c r="CV24" i="94"/>
  <c r="CU24" i="94"/>
  <c r="CT24" i="94"/>
  <c r="CS24" i="94"/>
  <c r="CR24" i="94"/>
  <c r="CQ24" i="94"/>
  <c r="CP24" i="94"/>
  <c r="CB24" i="94"/>
  <c r="BZ24" i="94"/>
  <c r="BY24" i="94"/>
  <c r="BX24" i="94"/>
  <c r="BW24" i="94"/>
  <c r="BV24" i="94"/>
  <c r="BU24" i="94"/>
  <c r="BT24" i="94"/>
  <c r="BS24" i="94"/>
  <c r="BR24" i="94"/>
  <c r="BD24" i="94"/>
  <c r="BB24" i="94"/>
  <c r="BA24" i="94"/>
  <c r="AZ24" i="94"/>
  <c r="AY24" i="94"/>
  <c r="AX24" i="94"/>
  <c r="AW24" i="94"/>
  <c r="AV24" i="94"/>
  <c r="AU24" i="94"/>
  <c r="AT24" i="94"/>
  <c r="AF24" i="94"/>
  <c r="AD24" i="94"/>
  <c r="AC24" i="94"/>
  <c r="AB24" i="94"/>
  <c r="AA24" i="94"/>
  <c r="Z24" i="94"/>
  <c r="Y24" i="94"/>
  <c r="X24" i="94"/>
  <c r="W24" i="94"/>
  <c r="V24" i="94"/>
  <c r="IN23" i="94"/>
  <c r="IM23" i="94"/>
  <c r="IL23" i="94"/>
  <c r="IK23" i="94"/>
  <c r="IJ23" i="94"/>
  <c r="II23" i="94"/>
  <c r="IH23" i="94"/>
  <c r="IG23" i="94"/>
  <c r="IF23" i="94"/>
  <c r="IE23" i="94"/>
  <c r="HP23" i="94"/>
  <c r="HO23" i="94"/>
  <c r="HN23" i="94"/>
  <c r="HM23" i="94"/>
  <c r="HL23" i="94"/>
  <c r="HK23" i="94"/>
  <c r="HJ23" i="94"/>
  <c r="HI23" i="94"/>
  <c r="HH23" i="94"/>
  <c r="HG23" i="94"/>
  <c r="GR23" i="94"/>
  <c r="GQ23" i="94"/>
  <c r="GP23" i="94"/>
  <c r="GO23" i="94"/>
  <c r="GN23" i="94"/>
  <c r="GM23" i="94"/>
  <c r="GL23" i="94"/>
  <c r="GK23" i="94"/>
  <c r="GJ23" i="94"/>
  <c r="GI23" i="94"/>
  <c r="FT23" i="94"/>
  <c r="FS23" i="94"/>
  <c r="FR23" i="94"/>
  <c r="FQ23" i="94"/>
  <c r="FP23" i="94"/>
  <c r="FO23" i="94"/>
  <c r="FN23" i="94"/>
  <c r="FM23" i="94"/>
  <c r="FL23" i="94"/>
  <c r="FK23" i="94"/>
  <c r="EV23" i="94"/>
  <c r="EU23" i="94"/>
  <c r="ET23" i="94"/>
  <c r="ES23" i="94"/>
  <c r="ER23" i="94"/>
  <c r="EQ23" i="94"/>
  <c r="EP23" i="94"/>
  <c r="EO23" i="94"/>
  <c r="EN23" i="94"/>
  <c r="EM23" i="94"/>
  <c r="DX23" i="94"/>
  <c r="DW23" i="94"/>
  <c r="DV23" i="94"/>
  <c r="DU23" i="94"/>
  <c r="DT23" i="94"/>
  <c r="DS23" i="94"/>
  <c r="DR23" i="94"/>
  <c r="DQ23" i="94"/>
  <c r="DP23" i="94"/>
  <c r="DO23" i="94"/>
  <c r="CZ23" i="94"/>
  <c r="CY23" i="94"/>
  <c r="CX23" i="94"/>
  <c r="CW23" i="94"/>
  <c r="CV23" i="94"/>
  <c r="CU23" i="94"/>
  <c r="CT23" i="94"/>
  <c r="CS23" i="94"/>
  <c r="CR23" i="94"/>
  <c r="CQ23" i="94"/>
  <c r="CB23" i="94"/>
  <c r="CA23" i="94"/>
  <c r="BZ23" i="94"/>
  <c r="BY23" i="94"/>
  <c r="BX23" i="94"/>
  <c r="BW23" i="94"/>
  <c r="BV23" i="94"/>
  <c r="BU23" i="94"/>
  <c r="BT23" i="94"/>
  <c r="BS23" i="94"/>
  <c r="BD23" i="94"/>
  <c r="BC23" i="94"/>
  <c r="BB23" i="94"/>
  <c r="BA23" i="94"/>
  <c r="AZ23" i="94"/>
  <c r="AY23" i="94"/>
  <c r="AX23" i="94"/>
  <c r="AW23" i="94"/>
  <c r="AV23" i="94"/>
  <c r="AU23" i="94"/>
  <c r="AF23" i="94"/>
  <c r="AE23" i="94"/>
  <c r="AD23" i="94"/>
  <c r="AC23" i="94"/>
  <c r="AB23" i="94"/>
  <c r="AA23" i="94"/>
  <c r="Z23" i="94"/>
  <c r="Y23" i="94"/>
  <c r="X23" i="94"/>
  <c r="W23" i="94"/>
  <c r="IN18" i="94"/>
  <c r="IM18" i="94"/>
  <c r="IL18" i="94"/>
  <c r="IK18" i="94"/>
  <c r="IJ18" i="94"/>
  <c r="II18" i="94"/>
  <c r="IH18" i="94"/>
  <c r="IG18" i="94"/>
  <c r="IF18" i="94"/>
  <c r="IE18" i="94"/>
  <c r="ID18" i="94"/>
  <c r="HP18" i="94"/>
  <c r="HO18" i="94"/>
  <c r="HN18" i="94"/>
  <c r="HM18" i="94"/>
  <c r="HL18" i="94"/>
  <c r="HK18" i="94"/>
  <c r="HJ18" i="94"/>
  <c r="HI18" i="94"/>
  <c r="HH18" i="94"/>
  <c r="HG18" i="94"/>
  <c r="HF18" i="94"/>
  <c r="GR18" i="94"/>
  <c r="GQ18" i="94"/>
  <c r="GP18" i="94"/>
  <c r="GO18" i="94"/>
  <c r="GN18" i="94"/>
  <c r="GM18" i="94"/>
  <c r="GL18" i="94"/>
  <c r="GK18" i="94"/>
  <c r="GJ18" i="94"/>
  <c r="GI18" i="94"/>
  <c r="GH18" i="94"/>
  <c r="FT18" i="94"/>
  <c r="FS18" i="94"/>
  <c r="FR18" i="94"/>
  <c r="FQ18" i="94"/>
  <c r="FP18" i="94"/>
  <c r="FO18" i="94"/>
  <c r="FN18" i="94"/>
  <c r="FM18" i="94"/>
  <c r="FL18" i="94"/>
  <c r="FK18" i="94"/>
  <c r="FJ18" i="94"/>
  <c r="EV18" i="94"/>
  <c r="EU18" i="94"/>
  <c r="ET18" i="94"/>
  <c r="ES18" i="94"/>
  <c r="ER18" i="94"/>
  <c r="EQ18" i="94"/>
  <c r="EP18" i="94"/>
  <c r="EO18" i="94"/>
  <c r="EN18" i="94"/>
  <c r="EM18" i="94"/>
  <c r="EL18" i="94"/>
  <c r="DX18" i="94"/>
  <c r="DW18" i="94"/>
  <c r="DV18" i="94"/>
  <c r="DU18" i="94"/>
  <c r="DT18" i="94"/>
  <c r="DS18" i="94"/>
  <c r="DR18" i="94"/>
  <c r="DQ18" i="94"/>
  <c r="DP18" i="94"/>
  <c r="DO18" i="94"/>
  <c r="DN18" i="94"/>
  <c r="CZ18" i="94"/>
  <c r="CY18" i="94"/>
  <c r="CX18" i="94"/>
  <c r="CW18" i="94"/>
  <c r="CV18" i="94"/>
  <c r="CU18" i="94"/>
  <c r="CT18" i="94"/>
  <c r="CS18" i="94"/>
  <c r="CR18" i="94"/>
  <c r="CQ18" i="94"/>
  <c r="CP18" i="94"/>
  <c r="CB18" i="94"/>
  <c r="CA18" i="94"/>
  <c r="BZ18" i="94"/>
  <c r="BY18" i="94"/>
  <c r="BX18" i="94"/>
  <c r="BW18" i="94"/>
  <c r="BV18" i="94"/>
  <c r="BU18" i="94"/>
  <c r="BT18" i="94"/>
  <c r="BS18" i="94"/>
  <c r="BR18" i="94"/>
  <c r="BD18" i="94"/>
  <c r="BC18" i="94"/>
  <c r="BB18" i="94"/>
  <c r="BA18" i="94"/>
  <c r="AZ18" i="94"/>
  <c r="AY18" i="94"/>
  <c r="AX18" i="94"/>
  <c r="AW18" i="94"/>
  <c r="AV18" i="94"/>
  <c r="AU18" i="94"/>
  <c r="AT18" i="94"/>
  <c r="AF18" i="94"/>
  <c r="AE18" i="94"/>
  <c r="AD18" i="94"/>
  <c r="AC18" i="94"/>
  <c r="AB18" i="94"/>
  <c r="AA18" i="94"/>
  <c r="Z18" i="94"/>
  <c r="Y18" i="94"/>
  <c r="X18" i="94"/>
  <c r="W18" i="94"/>
  <c r="V18" i="94"/>
  <c r="IN17" i="94"/>
  <c r="IM17" i="94"/>
  <c r="IL17" i="94"/>
  <c r="IK17" i="94"/>
  <c r="II17" i="94"/>
  <c r="IH17" i="94"/>
  <c r="IG17" i="94"/>
  <c r="IF17" i="94"/>
  <c r="IE17" i="94"/>
  <c r="ID17" i="94"/>
  <c r="HP17" i="94"/>
  <c r="HO17" i="94"/>
  <c r="HN17" i="94"/>
  <c r="HM17" i="94"/>
  <c r="HK17" i="94"/>
  <c r="HJ17" i="94"/>
  <c r="HI17" i="94"/>
  <c r="HH17" i="94"/>
  <c r="HG17" i="94"/>
  <c r="HF17" i="94"/>
  <c r="GR17" i="94"/>
  <c r="GQ17" i="94"/>
  <c r="GP17" i="94"/>
  <c r="GO17" i="94"/>
  <c r="GM17" i="94"/>
  <c r="GL17" i="94"/>
  <c r="GK17" i="94"/>
  <c r="GJ17" i="94"/>
  <c r="GI17" i="94"/>
  <c r="GH17" i="94"/>
  <c r="FT17" i="94"/>
  <c r="FS17" i="94"/>
  <c r="FR17" i="94"/>
  <c r="FQ17" i="94"/>
  <c r="FO17" i="94"/>
  <c r="FN17" i="94"/>
  <c r="FM17" i="94"/>
  <c r="FL17" i="94"/>
  <c r="FK17" i="94"/>
  <c r="FJ17" i="94"/>
  <c r="EV17" i="94"/>
  <c r="EU17" i="94"/>
  <c r="ET17" i="94"/>
  <c r="ES17" i="94"/>
  <c r="EQ17" i="94"/>
  <c r="EP17" i="94"/>
  <c r="EO17" i="94"/>
  <c r="EN17" i="94"/>
  <c r="EM17" i="94"/>
  <c r="EL17" i="94"/>
  <c r="DX17" i="94"/>
  <c r="DW17" i="94"/>
  <c r="DV17" i="94"/>
  <c r="DU17" i="94"/>
  <c r="DS17" i="94"/>
  <c r="DR17" i="94"/>
  <c r="DQ17" i="94"/>
  <c r="DP17" i="94"/>
  <c r="DO17" i="94"/>
  <c r="DN17" i="94"/>
  <c r="CZ17" i="94"/>
  <c r="CY17" i="94"/>
  <c r="CX17" i="94"/>
  <c r="CW17" i="94"/>
  <c r="CU17" i="94"/>
  <c r="CT17" i="94"/>
  <c r="CS17" i="94"/>
  <c r="CR17" i="94"/>
  <c r="CQ17" i="94"/>
  <c r="CP17" i="94"/>
  <c r="CB17" i="94"/>
  <c r="CA17" i="94"/>
  <c r="BZ17" i="94"/>
  <c r="BY17" i="94"/>
  <c r="BW17" i="94"/>
  <c r="BV17" i="94"/>
  <c r="BU17" i="94"/>
  <c r="BT17" i="94"/>
  <c r="BS17" i="94"/>
  <c r="BR17" i="94"/>
  <c r="BD17" i="94"/>
  <c r="BC17" i="94"/>
  <c r="BB17" i="94"/>
  <c r="BA17" i="94"/>
  <c r="AY17" i="94"/>
  <c r="AX17" i="94"/>
  <c r="AW17" i="94"/>
  <c r="AV17" i="94"/>
  <c r="AU17" i="94"/>
  <c r="AT17" i="94"/>
  <c r="AF17" i="94"/>
  <c r="AE17" i="94"/>
  <c r="AD17" i="94"/>
  <c r="AC17" i="94"/>
  <c r="AA17" i="94"/>
  <c r="Z17" i="94"/>
  <c r="Y17" i="94"/>
  <c r="X17" i="94"/>
  <c r="W17" i="94"/>
  <c r="V17" i="94"/>
  <c r="IN16" i="94"/>
  <c r="IM16" i="94"/>
  <c r="IL16" i="94"/>
  <c r="IK16" i="94"/>
  <c r="IJ16" i="94"/>
  <c r="II16" i="94"/>
  <c r="IH16" i="94"/>
  <c r="IG16" i="94"/>
  <c r="IF16" i="94"/>
  <c r="IE16" i="94"/>
  <c r="ID16" i="94"/>
  <c r="HP16" i="94"/>
  <c r="HO16" i="94"/>
  <c r="HN16" i="94"/>
  <c r="HM16" i="94"/>
  <c r="HL16" i="94"/>
  <c r="HK16" i="94"/>
  <c r="HJ16" i="94"/>
  <c r="HI16" i="94"/>
  <c r="HH16" i="94"/>
  <c r="HG16" i="94"/>
  <c r="HF16" i="94"/>
  <c r="GR16" i="94"/>
  <c r="GQ16" i="94"/>
  <c r="GP16" i="94"/>
  <c r="GO16" i="94"/>
  <c r="GM16" i="94"/>
  <c r="GL16" i="94"/>
  <c r="GK16" i="94"/>
  <c r="GJ16" i="94"/>
  <c r="GI16" i="94"/>
  <c r="GH16" i="94"/>
  <c r="FT16" i="94"/>
  <c r="FS16" i="94"/>
  <c r="FR16" i="94"/>
  <c r="FQ16" i="94"/>
  <c r="FP16" i="94"/>
  <c r="FO16" i="94"/>
  <c r="FN16" i="94"/>
  <c r="FM16" i="94"/>
  <c r="FL16" i="94"/>
  <c r="FK16" i="94"/>
  <c r="FJ16" i="94"/>
  <c r="EV16" i="94"/>
  <c r="EU16" i="94"/>
  <c r="ET16" i="94"/>
  <c r="ES16" i="94"/>
  <c r="ER16" i="94"/>
  <c r="EQ16" i="94"/>
  <c r="EP16" i="94"/>
  <c r="EO16" i="94"/>
  <c r="EN16" i="94"/>
  <c r="EM16" i="94"/>
  <c r="EL16" i="94"/>
  <c r="DX16" i="94"/>
  <c r="DW16" i="94"/>
  <c r="DV16" i="94"/>
  <c r="DU16" i="94"/>
  <c r="DS16" i="94"/>
  <c r="DR16" i="94"/>
  <c r="DQ16" i="94"/>
  <c r="DP16" i="94"/>
  <c r="DO16" i="94"/>
  <c r="DN16" i="94"/>
  <c r="CZ16" i="94"/>
  <c r="CY16" i="94"/>
  <c r="CX16" i="94"/>
  <c r="CW16" i="94"/>
  <c r="CV16" i="94"/>
  <c r="CU16" i="94"/>
  <c r="CT16" i="94"/>
  <c r="CS16" i="94"/>
  <c r="CR16" i="94"/>
  <c r="CQ16" i="94"/>
  <c r="CP16" i="94"/>
  <c r="CB16" i="94"/>
  <c r="CA16" i="94"/>
  <c r="BZ16" i="94"/>
  <c r="BY16" i="94"/>
  <c r="BW16" i="94"/>
  <c r="BV16" i="94"/>
  <c r="BU16" i="94"/>
  <c r="BT16" i="94"/>
  <c r="BS16" i="94"/>
  <c r="BR16" i="94"/>
  <c r="BD16" i="94"/>
  <c r="BC16" i="94"/>
  <c r="BB16" i="94"/>
  <c r="BA16" i="94"/>
  <c r="AY16" i="94"/>
  <c r="AX16" i="94"/>
  <c r="AW16" i="94"/>
  <c r="AV16" i="94"/>
  <c r="AU16" i="94"/>
  <c r="AT16" i="94"/>
  <c r="AF16" i="94"/>
  <c r="AE16" i="94"/>
  <c r="AD16" i="94"/>
  <c r="AC16" i="94"/>
  <c r="AB16" i="94"/>
  <c r="AA16" i="94"/>
  <c r="Z16" i="94"/>
  <c r="Y16" i="94"/>
  <c r="X16" i="94"/>
  <c r="W16" i="94"/>
  <c r="V16" i="94"/>
  <c r="IN15" i="94"/>
  <c r="IM15" i="94"/>
  <c r="IL15" i="94"/>
  <c r="IK15" i="94"/>
  <c r="IJ15" i="94"/>
  <c r="II15" i="94"/>
  <c r="IG15" i="94"/>
  <c r="IF15" i="94"/>
  <c r="IE15" i="94"/>
  <c r="ID15" i="94"/>
  <c r="HP15" i="94"/>
  <c r="HO15" i="94"/>
  <c r="HN15" i="94"/>
  <c r="HM15" i="94"/>
  <c r="HL15" i="94"/>
  <c r="HK15" i="94"/>
  <c r="HI15" i="94"/>
  <c r="HH15" i="94"/>
  <c r="HG15" i="94"/>
  <c r="HF15" i="94"/>
  <c r="GR15" i="94"/>
  <c r="GQ15" i="94"/>
  <c r="GP15" i="94"/>
  <c r="GO15" i="94"/>
  <c r="GN15" i="94"/>
  <c r="GM15" i="94"/>
  <c r="GK15" i="94"/>
  <c r="GJ15" i="94"/>
  <c r="GI15" i="94"/>
  <c r="GH15" i="94"/>
  <c r="FT15" i="94"/>
  <c r="FS15" i="94"/>
  <c r="FR15" i="94"/>
  <c r="FQ15" i="94"/>
  <c r="FP15" i="94"/>
  <c r="FO15" i="94"/>
  <c r="FM15" i="94"/>
  <c r="FL15" i="94"/>
  <c r="FK15" i="94"/>
  <c r="FJ15" i="94"/>
  <c r="EV15" i="94"/>
  <c r="EU15" i="94"/>
  <c r="ET15" i="94"/>
  <c r="ES15" i="94"/>
  <c r="ER15" i="94"/>
  <c r="EQ15" i="94"/>
  <c r="EO15" i="94"/>
  <c r="EN15" i="94"/>
  <c r="EM15" i="94"/>
  <c r="EL15" i="94"/>
  <c r="DX15" i="94"/>
  <c r="DW15" i="94"/>
  <c r="DV15" i="94"/>
  <c r="DU15" i="94"/>
  <c r="DT15" i="94"/>
  <c r="DS15" i="94"/>
  <c r="DQ15" i="94"/>
  <c r="DP15" i="94"/>
  <c r="DO15" i="94"/>
  <c r="DN15" i="94"/>
  <c r="CZ15" i="94"/>
  <c r="CY15" i="94"/>
  <c r="CX15" i="94"/>
  <c r="CW15" i="94"/>
  <c r="CV15" i="94"/>
  <c r="CU15" i="94"/>
  <c r="CS15" i="94"/>
  <c r="CR15" i="94"/>
  <c r="CQ15" i="94"/>
  <c r="CP15" i="94"/>
  <c r="CB15" i="94"/>
  <c r="CA15" i="94"/>
  <c r="BZ15" i="94"/>
  <c r="BY15" i="94"/>
  <c r="BX15" i="94"/>
  <c r="BW15" i="94"/>
  <c r="BU15" i="94"/>
  <c r="BT15" i="94"/>
  <c r="BS15" i="94"/>
  <c r="BR15" i="94"/>
  <c r="BD15" i="94"/>
  <c r="BC15" i="94"/>
  <c r="BB15" i="94"/>
  <c r="BA15" i="94"/>
  <c r="AZ15" i="94"/>
  <c r="AY15" i="94"/>
  <c r="AW15" i="94"/>
  <c r="AV15" i="94"/>
  <c r="AU15" i="94"/>
  <c r="AT15" i="94"/>
  <c r="AF15" i="94"/>
  <c r="AE15" i="94"/>
  <c r="AD15" i="94"/>
  <c r="AC15" i="94"/>
  <c r="AB15" i="94"/>
  <c r="AA15" i="94"/>
  <c r="Y15" i="94"/>
  <c r="X15" i="94"/>
  <c r="W15" i="94"/>
  <c r="V15" i="94"/>
  <c r="IN14" i="94"/>
  <c r="IM14" i="94"/>
  <c r="IL14" i="94"/>
  <c r="IK14" i="94"/>
  <c r="IJ14" i="94"/>
  <c r="II14" i="94"/>
  <c r="IH14" i="94"/>
  <c r="IG14" i="94"/>
  <c r="IF14" i="94"/>
  <c r="IE14" i="94"/>
  <c r="HP14" i="94"/>
  <c r="HO14" i="94"/>
  <c r="HN14" i="94"/>
  <c r="HM14" i="94"/>
  <c r="HL14" i="94"/>
  <c r="HK14" i="94"/>
  <c r="HJ14" i="94"/>
  <c r="HI14" i="94"/>
  <c r="HH14" i="94"/>
  <c r="HG14" i="94"/>
  <c r="GR14" i="94"/>
  <c r="GQ14" i="94"/>
  <c r="GP14" i="94"/>
  <c r="GO14" i="94"/>
  <c r="GN14" i="94"/>
  <c r="GM14" i="94"/>
  <c r="GL14" i="94"/>
  <c r="GK14" i="94"/>
  <c r="GJ14" i="94"/>
  <c r="GI14" i="94"/>
  <c r="FT14" i="94"/>
  <c r="FS14" i="94"/>
  <c r="FR14" i="94"/>
  <c r="FQ14" i="94"/>
  <c r="FP14" i="94"/>
  <c r="FO14" i="94"/>
  <c r="FN14" i="94"/>
  <c r="FM14" i="94"/>
  <c r="FL14" i="94"/>
  <c r="FK14" i="94"/>
  <c r="EV14" i="94"/>
  <c r="EU14" i="94"/>
  <c r="ET14" i="94"/>
  <c r="ES14" i="94"/>
  <c r="ER14" i="94"/>
  <c r="EQ14" i="94"/>
  <c r="EP14" i="94"/>
  <c r="EO14" i="94"/>
  <c r="EN14" i="94"/>
  <c r="EM14" i="94"/>
  <c r="DX14" i="94"/>
  <c r="DW14" i="94"/>
  <c r="DV14" i="94"/>
  <c r="DU14" i="94"/>
  <c r="DT14" i="94"/>
  <c r="DS14" i="94"/>
  <c r="DR14" i="94"/>
  <c r="DQ14" i="94"/>
  <c r="DP14" i="94"/>
  <c r="DO14" i="94"/>
  <c r="CZ14" i="94"/>
  <c r="CY14" i="94"/>
  <c r="CX14" i="94"/>
  <c r="CW14" i="94"/>
  <c r="CV14" i="94"/>
  <c r="CU14" i="94"/>
  <c r="CT14" i="94"/>
  <c r="CS14" i="94"/>
  <c r="CR14" i="94"/>
  <c r="CQ14" i="94"/>
  <c r="CB14" i="94"/>
  <c r="CA14" i="94"/>
  <c r="BZ14" i="94"/>
  <c r="BY14" i="94"/>
  <c r="BX14" i="94"/>
  <c r="BW14" i="94"/>
  <c r="BV14" i="94"/>
  <c r="BU14" i="94"/>
  <c r="BT14" i="94"/>
  <c r="BS14" i="94"/>
  <c r="BD14" i="94"/>
  <c r="BC14" i="94"/>
  <c r="BB14" i="94"/>
  <c r="BA14" i="94"/>
  <c r="AZ14" i="94"/>
  <c r="AY14" i="94"/>
  <c r="AX14" i="94"/>
  <c r="AW14" i="94"/>
  <c r="AV14" i="94"/>
  <c r="AU14" i="94"/>
  <c r="AF14" i="94"/>
  <c r="AE14" i="94"/>
  <c r="AD14" i="94"/>
  <c r="AC14" i="94"/>
  <c r="AB14" i="94"/>
  <c r="AA14" i="94"/>
  <c r="Z14" i="94"/>
  <c r="Y14" i="94"/>
  <c r="X14" i="94"/>
  <c r="W14" i="94"/>
  <c r="IN9" i="94"/>
  <c r="IM9" i="94"/>
  <c r="IL9" i="94"/>
  <c r="IK9" i="94"/>
  <c r="IJ9" i="94"/>
  <c r="II9" i="94"/>
  <c r="IH9" i="94"/>
  <c r="IG9" i="94"/>
  <c r="IF9" i="94"/>
  <c r="IE9" i="94"/>
  <c r="ID9" i="94"/>
  <c r="HP9" i="94"/>
  <c r="HO9" i="94"/>
  <c r="HN9" i="94"/>
  <c r="HM9" i="94"/>
  <c r="HL9" i="94"/>
  <c r="HK9" i="94"/>
  <c r="HJ9" i="94"/>
  <c r="HI9" i="94"/>
  <c r="HH9" i="94"/>
  <c r="HG9" i="94"/>
  <c r="HF9" i="94"/>
  <c r="GR9" i="94"/>
  <c r="GQ9" i="94"/>
  <c r="GP9" i="94"/>
  <c r="GO9" i="94"/>
  <c r="GN9" i="94"/>
  <c r="GM9" i="94"/>
  <c r="GL9" i="94"/>
  <c r="GK9" i="94"/>
  <c r="GJ9" i="94"/>
  <c r="GI9" i="94"/>
  <c r="GH9" i="94"/>
  <c r="FT9" i="94"/>
  <c r="FS9" i="94"/>
  <c r="FR9" i="94"/>
  <c r="FQ9" i="94"/>
  <c r="FP9" i="94"/>
  <c r="FO9" i="94"/>
  <c r="FN9" i="94"/>
  <c r="FM9" i="94"/>
  <c r="FL9" i="94"/>
  <c r="FK9" i="94"/>
  <c r="FJ9" i="94"/>
  <c r="EV9" i="94"/>
  <c r="EU9" i="94"/>
  <c r="ET9" i="94"/>
  <c r="ES9" i="94"/>
  <c r="ER9" i="94"/>
  <c r="EQ9" i="94"/>
  <c r="EP9" i="94"/>
  <c r="EO9" i="94"/>
  <c r="EN9" i="94"/>
  <c r="EM9" i="94"/>
  <c r="EL9" i="94"/>
  <c r="DX9" i="94"/>
  <c r="DW9" i="94"/>
  <c r="DV9" i="94"/>
  <c r="DU9" i="94"/>
  <c r="DT9" i="94"/>
  <c r="DS9" i="94"/>
  <c r="DR9" i="94"/>
  <c r="DQ9" i="94"/>
  <c r="DP9" i="94"/>
  <c r="DO9" i="94"/>
  <c r="DN9" i="94"/>
  <c r="CZ9" i="94"/>
  <c r="CY9" i="94"/>
  <c r="CX9" i="94"/>
  <c r="CW9" i="94"/>
  <c r="CV9" i="94"/>
  <c r="CU9" i="94"/>
  <c r="CT9" i="94"/>
  <c r="CS9" i="94"/>
  <c r="CR9" i="94"/>
  <c r="CQ9" i="94"/>
  <c r="CP9" i="94"/>
  <c r="CB9" i="94"/>
  <c r="CA9" i="94"/>
  <c r="BZ9" i="94"/>
  <c r="BY9" i="94"/>
  <c r="BX9" i="94"/>
  <c r="BW9" i="94"/>
  <c r="BV9" i="94"/>
  <c r="BU9" i="94"/>
  <c r="BT9" i="94"/>
  <c r="BS9" i="94"/>
  <c r="BR9" i="94"/>
  <c r="BD9" i="94"/>
  <c r="BC9" i="94"/>
  <c r="BB9" i="94"/>
  <c r="BA9" i="94"/>
  <c r="AZ9" i="94"/>
  <c r="AY9" i="94"/>
  <c r="AX9" i="94"/>
  <c r="AW9" i="94"/>
  <c r="AV9" i="94"/>
  <c r="AU9" i="94"/>
  <c r="AT9" i="94"/>
  <c r="AF9" i="94"/>
  <c r="AE9" i="94"/>
  <c r="AD9" i="94"/>
  <c r="AC9" i="94"/>
  <c r="AB9" i="94"/>
  <c r="AA9" i="94"/>
  <c r="Z9" i="94"/>
  <c r="Y9" i="94"/>
  <c r="X9" i="94"/>
  <c r="W9" i="94"/>
  <c r="V9" i="94"/>
  <c r="IN8" i="94"/>
  <c r="IM8" i="94"/>
  <c r="IL8" i="94"/>
  <c r="IK8" i="94"/>
  <c r="IJ8" i="94"/>
  <c r="II8" i="94"/>
  <c r="IH8" i="94"/>
  <c r="IG8" i="94"/>
  <c r="IF8" i="94"/>
  <c r="IE8" i="94"/>
  <c r="ID8" i="94"/>
  <c r="HP8" i="94"/>
  <c r="HO8" i="94"/>
  <c r="HN8" i="94"/>
  <c r="HM8" i="94"/>
  <c r="HL8" i="94"/>
  <c r="HK8" i="94"/>
  <c r="HJ8" i="94"/>
  <c r="HI8" i="94"/>
  <c r="HH8" i="94"/>
  <c r="HG8" i="94"/>
  <c r="HF8" i="94"/>
  <c r="GR8" i="94"/>
  <c r="GQ8" i="94"/>
  <c r="GP8" i="94"/>
  <c r="GO8" i="94"/>
  <c r="GN8" i="94"/>
  <c r="GM8" i="94"/>
  <c r="GL8" i="94"/>
  <c r="GK8" i="94"/>
  <c r="GJ8" i="94"/>
  <c r="GI8" i="94"/>
  <c r="GH8" i="94"/>
  <c r="FT8" i="94"/>
  <c r="FS8" i="94"/>
  <c r="FR8" i="94"/>
  <c r="FQ8" i="94"/>
  <c r="FP8" i="94"/>
  <c r="FO8" i="94"/>
  <c r="FN8" i="94"/>
  <c r="FM8" i="94"/>
  <c r="FL8" i="94"/>
  <c r="FK8" i="94"/>
  <c r="FJ8" i="94"/>
  <c r="EV8" i="94"/>
  <c r="EU8" i="94"/>
  <c r="ET8" i="94"/>
  <c r="ES8" i="94"/>
  <c r="ER8" i="94"/>
  <c r="EQ8" i="94"/>
  <c r="EP8" i="94"/>
  <c r="EO8" i="94"/>
  <c r="EN8" i="94"/>
  <c r="EM8" i="94"/>
  <c r="EL8" i="94"/>
  <c r="DX8" i="94"/>
  <c r="DW8" i="94"/>
  <c r="DV8" i="94"/>
  <c r="DU8" i="94"/>
  <c r="DT8" i="94"/>
  <c r="DS8" i="94"/>
  <c r="DR8" i="94"/>
  <c r="DQ8" i="94"/>
  <c r="DP8" i="94"/>
  <c r="DO8" i="94"/>
  <c r="DN8" i="94"/>
  <c r="CZ8" i="94"/>
  <c r="CY8" i="94"/>
  <c r="CX8" i="94"/>
  <c r="CW8" i="94"/>
  <c r="CV8" i="94"/>
  <c r="CU8" i="94"/>
  <c r="CT8" i="94"/>
  <c r="CS8" i="94"/>
  <c r="CR8" i="94"/>
  <c r="CQ8" i="94"/>
  <c r="CP8" i="94"/>
  <c r="CB8" i="94"/>
  <c r="CA8" i="94"/>
  <c r="BZ8" i="94"/>
  <c r="BY8" i="94"/>
  <c r="BX8" i="94"/>
  <c r="BW8" i="94"/>
  <c r="BV8" i="94"/>
  <c r="BU8" i="94"/>
  <c r="BT8" i="94"/>
  <c r="BS8" i="94"/>
  <c r="BR8" i="94"/>
  <c r="BD8" i="94"/>
  <c r="BC8" i="94"/>
  <c r="BB8" i="94"/>
  <c r="BA8" i="94"/>
  <c r="AZ8" i="94"/>
  <c r="AY8" i="94"/>
  <c r="AX8" i="94"/>
  <c r="AW8" i="94"/>
  <c r="AV8" i="94"/>
  <c r="AU8" i="94"/>
  <c r="AT8" i="94"/>
  <c r="AF8" i="94"/>
  <c r="AE8" i="94"/>
  <c r="AD8" i="94"/>
  <c r="AC8" i="94"/>
  <c r="AB8" i="94"/>
  <c r="AA8" i="94"/>
  <c r="Z8" i="94"/>
  <c r="Y8" i="94"/>
  <c r="X8" i="94"/>
  <c r="W8" i="94"/>
  <c r="V8" i="94"/>
  <c r="IN7" i="94"/>
  <c r="IM7" i="94"/>
  <c r="IL7" i="94"/>
  <c r="IK7" i="94"/>
  <c r="II7" i="94"/>
  <c r="IH7" i="94"/>
  <c r="IG7" i="94"/>
  <c r="IF7" i="94"/>
  <c r="IE7" i="94"/>
  <c r="ID7" i="94"/>
  <c r="HP7" i="94"/>
  <c r="HO7" i="94"/>
  <c r="HN7" i="94"/>
  <c r="HM7" i="94"/>
  <c r="HK7" i="94"/>
  <c r="HJ7" i="94"/>
  <c r="HI7" i="94"/>
  <c r="HH7" i="94"/>
  <c r="HG7" i="94"/>
  <c r="HF7" i="94"/>
  <c r="GR7" i="94"/>
  <c r="GQ7" i="94"/>
  <c r="GP7" i="94"/>
  <c r="GO7" i="94"/>
  <c r="GM7" i="94"/>
  <c r="GL7" i="94"/>
  <c r="GK7" i="94"/>
  <c r="GJ7" i="94"/>
  <c r="GI7" i="94"/>
  <c r="GH7" i="94"/>
  <c r="FT7" i="94"/>
  <c r="FS7" i="94"/>
  <c r="FR7" i="94"/>
  <c r="FQ7" i="94"/>
  <c r="FO7" i="94"/>
  <c r="FN7" i="94"/>
  <c r="FM7" i="94"/>
  <c r="FL7" i="94"/>
  <c r="FK7" i="94"/>
  <c r="FJ7" i="94"/>
  <c r="EV7" i="94"/>
  <c r="EU7" i="94"/>
  <c r="ET7" i="94"/>
  <c r="ES7" i="94"/>
  <c r="EQ7" i="94"/>
  <c r="EP7" i="94"/>
  <c r="EO7" i="94"/>
  <c r="EN7" i="94"/>
  <c r="EM7" i="94"/>
  <c r="EL7" i="94"/>
  <c r="DX7" i="94"/>
  <c r="DW7" i="94"/>
  <c r="DV7" i="94"/>
  <c r="DU7" i="94"/>
  <c r="DS7" i="94"/>
  <c r="DR7" i="94"/>
  <c r="DQ7" i="94"/>
  <c r="DP7" i="94"/>
  <c r="DO7" i="94"/>
  <c r="DN7" i="94"/>
  <c r="CZ7" i="94"/>
  <c r="CY7" i="94"/>
  <c r="CX7" i="94"/>
  <c r="CW7" i="94"/>
  <c r="CU7" i="94"/>
  <c r="CT7" i="94"/>
  <c r="CS7" i="94"/>
  <c r="CR7" i="94"/>
  <c r="CQ7" i="94"/>
  <c r="CP7" i="94"/>
  <c r="CB7" i="94"/>
  <c r="CA7" i="94"/>
  <c r="BZ7" i="94"/>
  <c r="BY7" i="94"/>
  <c r="BW7" i="94"/>
  <c r="BV7" i="94"/>
  <c r="BU7" i="94"/>
  <c r="BT7" i="94"/>
  <c r="BS7" i="94"/>
  <c r="BR7" i="94"/>
  <c r="BD7" i="94"/>
  <c r="BC7" i="94"/>
  <c r="BB7" i="94"/>
  <c r="BA7" i="94"/>
  <c r="AY7" i="94"/>
  <c r="AX7" i="94"/>
  <c r="AW7" i="94"/>
  <c r="AV7" i="94"/>
  <c r="AU7" i="94"/>
  <c r="AT7" i="94"/>
  <c r="AF7" i="94"/>
  <c r="AE7" i="94"/>
  <c r="AD7" i="94"/>
  <c r="AC7" i="94"/>
  <c r="AA7" i="94"/>
  <c r="Z7" i="94"/>
  <c r="Y7" i="94"/>
  <c r="X7" i="94"/>
  <c r="W7" i="94"/>
  <c r="V7" i="94"/>
  <c r="IN6" i="94"/>
  <c r="IM6" i="94"/>
  <c r="IL6" i="94"/>
  <c r="IK6" i="94"/>
  <c r="IJ6" i="94"/>
  <c r="II6" i="94"/>
  <c r="IH6" i="94"/>
  <c r="IG6" i="94"/>
  <c r="IF6" i="94"/>
  <c r="IE6" i="94"/>
  <c r="ID6" i="94"/>
  <c r="HP6" i="94"/>
  <c r="HO6" i="94"/>
  <c r="HN6" i="94"/>
  <c r="HM6" i="94"/>
  <c r="HL6" i="94"/>
  <c r="HK6" i="94"/>
  <c r="HJ6" i="94"/>
  <c r="HI6" i="94"/>
  <c r="HH6" i="94"/>
  <c r="HG6" i="94"/>
  <c r="HF6" i="94"/>
  <c r="GR6" i="94"/>
  <c r="GQ6" i="94"/>
  <c r="GP6" i="94"/>
  <c r="GO6" i="94"/>
  <c r="GN6" i="94"/>
  <c r="GM6" i="94"/>
  <c r="GL6" i="94"/>
  <c r="GK6" i="94"/>
  <c r="GJ6" i="94"/>
  <c r="GI6" i="94"/>
  <c r="GH6" i="94"/>
  <c r="FT6" i="94"/>
  <c r="FS6" i="94"/>
  <c r="FR6" i="94"/>
  <c r="FQ6" i="94"/>
  <c r="FP6" i="94"/>
  <c r="FO6" i="94"/>
  <c r="FN6" i="94"/>
  <c r="FM6" i="94"/>
  <c r="FL6" i="94"/>
  <c r="FK6" i="94"/>
  <c r="FJ6" i="94"/>
  <c r="EV6" i="94"/>
  <c r="EU6" i="94"/>
  <c r="ET6" i="94"/>
  <c r="ES6" i="94"/>
  <c r="ER6" i="94"/>
  <c r="EQ6" i="94"/>
  <c r="EP6" i="94"/>
  <c r="EO6" i="94"/>
  <c r="EN6" i="94"/>
  <c r="EM6" i="94"/>
  <c r="EL6" i="94"/>
  <c r="DX6" i="94"/>
  <c r="DW6" i="94"/>
  <c r="DV6" i="94"/>
  <c r="DU6" i="94"/>
  <c r="DT6" i="94"/>
  <c r="DS6" i="94"/>
  <c r="DR6" i="94"/>
  <c r="DQ6" i="94"/>
  <c r="DP6" i="94"/>
  <c r="DO6" i="94"/>
  <c r="DN6" i="94"/>
  <c r="CZ6" i="94"/>
  <c r="CY6" i="94"/>
  <c r="CX6" i="94"/>
  <c r="CW6" i="94"/>
  <c r="CV6" i="94"/>
  <c r="CU6" i="94"/>
  <c r="CT6" i="94"/>
  <c r="CS6" i="94"/>
  <c r="CR6" i="94"/>
  <c r="CQ6" i="94"/>
  <c r="CP6" i="94"/>
  <c r="CB6" i="94"/>
  <c r="CA6" i="94"/>
  <c r="BZ6" i="94"/>
  <c r="BY6" i="94"/>
  <c r="BX6" i="94"/>
  <c r="BW6" i="94"/>
  <c r="BV6" i="94"/>
  <c r="BU6" i="94"/>
  <c r="BT6" i="94"/>
  <c r="BS6" i="94"/>
  <c r="BR6" i="94"/>
  <c r="BD6" i="94"/>
  <c r="BC6" i="94"/>
  <c r="BB6" i="94"/>
  <c r="BA6" i="94"/>
  <c r="AZ6" i="94"/>
  <c r="AY6" i="94"/>
  <c r="AX6" i="94"/>
  <c r="AW6" i="94"/>
  <c r="AV6" i="94"/>
  <c r="AU6" i="94"/>
  <c r="AT6" i="94"/>
  <c r="AF6" i="94"/>
  <c r="AE6" i="94"/>
  <c r="AD6" i="94"/>
  <c r="AC6" i="94"/>
  <c r="AB6" i="94"/>
  <c r="AA6" i="94"/>
  <c r="Z6" i="94"/>
  <c r="Y6" i="94"/>
  <c r="X6" i="94"/>
  <c r="W6" i="94"/>
  <c r="V6" i="94"/>
  <c r="IN5" i="94"/>
  <c r="IM5" i="94"/>
  <c r="IL5" i="94"/>
  <c r="IK5" i="94"/>
  <c r="IJ5" i="94"/>
  <c r="II5" i="94"/>
  <c r="IH5" i="94"/>
  <c r="IG5" i="94"/>
  <c r="IF5" i="94"/>
  <c r="IE5" i="94"/>
  <c r="HP5" i="94"/>
  <c r="HO5" i="94"/>
  <c r="HN5" i="94"/>
  <c r="HM5" i="94"/>
  <c r="HL5" i="94"/>
  <c r="HK5" i="94"/>
  <c r="HJ5" i="94"/>
  <c r="HI5" i="94"/>
  <c r="HH5" i="94"/>
  <c r="HG5" i="94"/>
  <c r="GR5" i="94"/>
  <c r="GQ5" i="94"/>
  <c r="GP5" i="94"/>
  <c r="GO5" i="94"/>
  <c r="GN5" i="94"/>
  <c r="GM5" i="94"/>
  <c r="GL5" i="94"/>
  <c r="GK5" i="94"/>
  <c r="GJ5" i="94"/>
  <c r="GI5" i="94"/>
  <c r="FT5" i="94"/>
  <c r="FS5" i="94"/>
  <c r="FR5" i="94"/>
  <c r="FQ5" i="94"/>
  <c r="FP5" i="94"/>
  <c r="FO5" i="94"/>
  <c r="FN5" i="94"/>
  <c r="FM5" i="94"/>
  <c r="FL5" i="94"/>
  <c r="FK5" i="94"/>
  <c r="EV5" i="94"/>
  <c r="EU5" i="94"/>
  <c r="ET5" i="94"/>
  <c r="ES5" i="94"/>
  <c r="ER5" i="94"/>
  <c r="EQ5" i="94"/>
  <c r="EP5" i="94"/>
  <c r="EO5" i="94"/>
  <c r="EN5" i="94"/>
  <c r="EM5" i="94"/>
  <c r="DX5" i="94"/>
  <c r="DW5" i="94"/>
  <c r="DV5" i="94"/>
  <c r="DU5" i="94"/>
  <c r="DT5" i="94"/>
  <c r="DS5" i="94"/>
  <c r="DR5" i="94"/>
  <c r="DQ5" i="94"/>
  <c r="DP5" i="94"/>
  <c r="DO5" i="94"/>
  <c r="CZ5" i="94"/>
  <c r="CY5" i="94"/>
  <c r="CX5" i="94"/>
  <c r="CW5" i="94"/>
  <c r="CV5" i="94"/>
  <c r="CU5" i="94"/>
  <c r="CT5" i="94"/>
  <c r="CS5" i="94"/>
  <c r="CR5" i="94"/>
  <c r="CQ5" i="94"/>
  <c r="CB5" i="94"/>
  <c r="CA5" i="94"/>
  <c r="BZ5" i="94"/>
  <c r="BY5" i="94"/>
  <c r="BX5" i="94"/>
  <c r="BW5" i="94"/>
  <c r="BV5" i="94"/>
  <c r="BU5" i="94"/>
  <c r="BT5" i="94"/>
  <c r="BS5" i="94"/>
  <c r="BD5" i="94"/>
  <c r="BC5" i="94"/>
  <c r="BB5" i="94"/>
  <c r="BA5" i="94"/>
  <c r="AZ5" i="94"/>
  <c r="AY5" i="94"/>
  <c r="AX5" i="94"/>
  <c r="AW5" i="94"/>
  <c r="AV5" i="94"/>
  <c r="AU5" i="94"/>
  <c r="AF5" i="94"/>
  <c r="AE5" i="94"/>
  <c r="AD5" i="94"/>
  <c r="AC5" i="94"/>
  <c r="AB5" i="94"/>
  <c r="AA5" i="94"/>
  <c r="Z5" i="94"/>
  <c r="Y5" i="94"/>
  <c r="X5" i="94"/>
  <c r="W5" i="94"/>
  <c r="B7" i="127"/>
  <c r="B8" i="127"/>
  <c r="B9" i="127"/>
  <c r="B10" i="127"/>
  <c r="B11" i="127"/>
  <c r="B12" i="127"/>
  <c r="B13" i="127"/>
  <c r="B14" i="127"/>
  <c r="B15" i="127"/>
  <c r="B16" i="127"/>
  <c r="B6" i="127"/>
  <c r="C24" i="126"/>
  <c r="C21" i="126"/>
  <c r="C18" i="126"/>
  <c r="C15" i="126"/>
  <c r="C12" i="126"/>
  <c r="C9" i="126"/>
  <c r="C6" i="126"/>
  <c r="B33" i="126"/>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28" i="126"/>
  <c r="B29" i="126" s="1"/>
  <c r="B30" i="126" s="1"/>
  <c r="B31" i="126" s="1"/>
  <c r="F3" i="145"/>
  <c r="D3" i="145"/>
  <c r="C3" i="145"/>
  <c r="I15" i="113" l="1"/>
  <c r="H15" i="113"/>
  <c r="I14" i="113"/>
  <c r="H14" i="113"/>
  <c r="I13" i="113"/>
  <c r="H13" i="113"/>
  <c r="I12" i="113"/>
  <c r="H12" i="113"/>
  <c r="I11" i="113"/>
  <c r="H11" i="113"/>
  <c r="I10" i="113"/>
  <c r="H10" i="113"/>
  <c r="I9" i="113"/>
  <c r="H9" i="113"/>
  <c r="I15" i="140"/>
  <c r="H15" i="140"/>
  <c r="I14" i="140"/>
  <c r="H14" i="140"/>
  <c r="I13" i="140"/>
  <c r="H13" i="140"/>
  <c r="I12" i="140"/>
  <c r="H12" i="140"/>
  <c r="I11" i="140"/>
  <c r="H11" i="140"/>
  <c r="I10" i="140"/>
  <c r="H10" i="140"/>
  <c r="I9" i="140"/>
  <c r="H9" i="140"/>
  <c r="I15" i="138"/>
  <c r="H15" i="138"/>
  <c r="I14" i="138"/>
  <c r="H14" i="138"/>
  <c r="I13" i="138"/>
  <c r="H13" i="138"/>
  <c r="I12" i="138"/>
  <c r="H12" i="138"/>
  <c r="I11" i="138"/>
  <c r="H11" i="138"/>
  <c r="I10" i="138"/>
  <c r="H10" i="138"/>
  <c r="I9" i="138"/>
  <c r="H9" i="138"/>
  <c r="I15" i="124"/>
  <c r="H15" i="124"/>
  <c r="I14" i="124"/>
  <c r="H14" i="124"/>
  <c r="I13" i="124"/>
  <c r="H13" i="124"/>
  <c r="I12" i="124"/>
  <c r="H12" i="124"/>
  <c r="I11" i="124"/>
  <c r="H11" i="124"/>
  <c r="I10" i="124"/>
  <c r="H10" i="124"/>
  <c r="I9" i="124"/>
  <c r="H9" i="124"/>
  <c r="I15" i="116"/>
  <c r="H15" i="116"/>
  <c r="I14" i="116"/>
  <c r="H14" i="116"/>
  <c r="I13" i="116"/>
  <c r="H13" i="116"/>
  <c r="I12" i="116"/>
  <c r="H12" i="116"/>
  <c r="I11" i="116"/>
  <c r="H11" i="116"/>
  <c r="I10" i="116"/>
  <c r="H10" i="116"/>
  <c r="I9" i="116"/>
  <c r="H9" i="116"/>
  <c r="I15" i="117"/>
  <c r="H15" i="117"/>
  <c r="I14" i="117"/>
  <c r="H14" i="117"/>
  <c r="I13" i="117"/>
  <c r="H13" i="117"/>
  <c r="I12" i="117"/>
  <c r="H12" i="117"/>
  <c r="I11" i="117"/>
  <c r="H11" i="117"/>
  <c r="I10" i="117"/>
  <c r="H10" i="117"/>
  <c r="I9" i="117"/>
  <c r="H9" i="117"/>
  <c r="I15" i="97"/>
  <c r="H15" i="97"/>
  <c r="I14" i="97"/>
  <c r="H14" i="97"/>
  <c r="I13" i="97"/>
  <c r="H13" i="97"/>
  <c r="I12" i="97"/>
  <c r="H12" i="97"/>
  <c r="I11" i="97"/>
  <c r="H11" i="97"/>
  <c r="I10" i="97"/>
  <c r="H10" i="97"/>
  <c r="I9" i="97"/>
  <c r="H9" i="97"/>
  <c r="I15" i="139"/>
  <c r="H15" i="139"/>
  <c r="I14" i="139"/>
  <c r="H14" i="139"/>
  <c r="I13" i="139"/>
  <c r="H13" i="139"/>
  <c r="I12" i="139"/>
  <c r="H12" i="139"/>
  <c r="I11" i="139"/>
  <c r="H11" i="139"/>
  <c r="I10" i="139"/>
  <c r="H10" i="139"/>
  <c r="I9" i="139"/>
  <c r="H9" i="139"/>
  <c r="I15" i="91"/>
  <c r="H15" i="91"/>
  <c r="I14" i="91"/>
  <c r="H14" i="91"/>
  <c r="I13" i="91"/>
  <c r="H13" i="91"/>
  <c r="I12" i="91"/>
  <c r="H12" i="91"/>
  <c r="I11" i="91"/>
  <c r="H11" i="91"/>
  <c r="I10" i="91"/>
  <c r="H10" i="91"/>
  <c r="I9" i="91"/>
  <c r="H9" i="91"/>
  <c r="I15" i="136"/>
  <c r="H15" i="136"/>
  <c r="I14" i="136"/>
  <c r="H14" i="136"/>
  <c r="I13" i="136"/>
  <c r="H13" i="136"/>
  <c r="I12" i="136"/>
  <c r="H12" i="136"/>
  <c r="I11" i="136"/>
  <c r="H11" i="136"/>
  <c r="I10" i="136"/>
  <c r="H10" i="136"/>
  <c r="I9" i="136"/>
  <c r="H9" i="136"/>
  <c r="I15" i="99"/>
  <c r="H15" i="99"/>
  <c r="I14" i="99"/>
  <c r="H14" i="99"/>
  <c r="I13" i="99"/>
  <c r="H13" i="99"/>
  <c r="I12" i="99"/>
  <c r="H12" i="99"/>
  <c r="I11" i="99"/>
  <c r="H11" i="99"/>
  <c r="I10" i="99"/>
  <c r="H10" i="99"/>
  <c r="I9" i="99"/>
  <c r="H9" i="99"/>
  <c r="I15" i="86"/>
  <c r="H15" i="86"/>
  <c r="I14" i="86"/>
  <c r="H14" i="86"/>
  <c r="I13" i="86"/>
  <c r="H13" i="86"/>
  <c r="I12" i="86"/>
  <c r="H12" i="86"/>
  <c r="I11" i="86"/>
  <c r="H11" i="86"/>
  <c r="I10" i="86"/>
  <c r="H10" i="86"/>
  <c r="I9" i="86"/>
  <c r="H9" i="86"/>
  <c r="I15" i="132"/>
  <c r="H15" i="132"/>
  <c r="I14" i="132"/>
  <c r="H14" i="132"/>
  <c r="I13" i="132"/>
  <c r="H13" i="132"/>
  <c r="I12" i="132"/>
  <c r="H12" i="132"/>
  <c r="I11" i="132"/>
  <c r="H11" i="132"/>
  <c r="I10" i="132"/>
  <c r="H10" i="132"/>
  <c r="I9" i="132"/>
  <c r="H9" i="132"/>
  <c r="I15" i="120"/>
  <c r="H15" i="120"/>
  <c r="I14" i="120"/>
  <c r="H14" i="120"/>
  <c r="I13" i="120"/>
  <c r="H13" i="120"/>
  <c r="I12" i="120"/>
  <c r="H12" i="120"/>
  <c r="I11" i="120"/>
  <c r="H11" i="120"/>
  <c r="I10" i="120"/>
  <c r="H10" i="120"/>
  <c r="I9" i="120"/>
  <c r="H9" i="120"/>
  <c r="I15" i="119"/>
  <c r="H15" i="119"/>
  <c r="I14" i="119"/>
  <c r="H14" i="119"/>
  <c r="I13" i="119"/>
  <c r="H13" i="119"/>
  <c r="I12" i="119"/>
  <c r="H12" i="119"/>
  <c r="I11" i="119"/>
  <c r="H11" i="119"/>
  <c r="I10" i="119"/>
  <c r="H10" i="119"/>
  <c r="I9" i="119"/>
  <c r="H9" i="119"/>
  <c r="I15" i="118"/>
  <c r="H15" i="118"/>
  <c r="I14" i="118"/>
  <c r="H14" i="118"/>
  <c r="I13" i="118"/>
  <c r="H13" i="118"/>
  <c r="I12" i="118"/>
  <c r="H12" i="118"/>
  <c r="I11" i="118"/>
  <c r="H11" i="118"/>
  <c r="I10" i="118"/>
  <c r="H10" i="118"/>
  <c r="I9" i="118"/>
  <c r="H9" i="118"/>
  <c r="I15" i="137"/>
  <c r="H15" i="137"/>
  <c r="I14" i="137"/>
  <c r="H14" i="137"/>
  <c r="I13" i="137"/>
  <c r="H13" i="137"/>
  <c r="I12" i="137"/>
  <c r="H12" i="137"/>
  <c r="I11" i="137"/>
  <c r="H11" i="137"/>
  <c r="I10" i="137"/>
  <c r="H10" i="137"/>
  <c r="I9" i="137"/>
  <c r="H9" i="137"/>
  <c r="I15" i="123"/>
  <c r="H15" i="123"/>
  <c r="I14" i="123"/>
  <c r="H14" i="123"/>
  <c r="I13" i="123"/>
  <c r="H13" i="123"/>
  <c r="I12" i="123"/>
  <c r="H12" i="123"/>
  <c r="I11" i="123"/>
  <c r="H11" i="123"/>
  <c r="I10" i="123"/>
  <c r="H10" i="123"/>
  <c r="I9" i="123"/>
  <c r="H9" i="123"/>
  <c r="I15" i="96"/>
  <c r="H15" i="96"/>
  <c r="I14" i="96"/>
  <c r="H14" i="96"/>
  <c r="I13" i="96"/>
  <c r="H13" i="96"/>
  <c r="I12" i="96"/>
  <c r="H12" i="96"/>
  <c r="I11" i="96"/>
  <c r="H11" i="96"/>
  <c r="I10" i="96"/>
  <c r="H10" i="96"/>
  <c r="I9" i="96"/>
  <c r="H9" i="96"/>
  <c r="I15" i="95"/>
  <c r="H15" i="95"/>
  <c r="I14" i="95"/>
  <c r="H14" i="95"/>
  <c r="I13" i="95"/>
  <c r="H13" i="95"/>
  <c r="I12" i="95"/>
  <c r="H12" i="95"/>
  <c r="I11" i="95"/>
  <c r="H11" i="95"/>
  <c r="I10" i="95"/>
  <c r="H10" i="95"/>
  <c r="I9" i="95"/>
  <c r="H9" i="95"/>
  <c r="I15" i="98"/>
  <c r="H15" i="98"/>
  <c r="I14" i="98"/>
  <c r="H14" i="98"/>
  <c r="I13" i="98"/>
  <c r="H13" i="98"/>
  <c r="I12" i="98"/>
  <c r="H12" i="98"/>
  <c r="I11" i="98"/>
  <c r="H11" i="98"/>
  <c r="I10" i="98"/>
  <c r="H10" i="98"/>
  <c r="I9" i="98"/>
  <c r="H9" i="98"/>
  <c r="I15" i="135"/>
  <c r="H15" i="135"/>
  <c r="I14" i="135"/>
  <c r="H14" i="135"/>
  <c r="I13" i="135"/>
  <c r="H13" i="135"/>
  <c r="I12" i="135"/>
  <c r="H12" i="135"/>
  <c r="I11" i="135"/>
  <c r="H11" i="135"/>
  <c r="I10" i="135"/>
  <c r="H10" i="135"/>
  <c r="I9" i="135"/>
  <c r="H9" i="135"/>
  <c r="I15" i="134"/>
  <c r="H15" i="134"/>
  <c r="I14" i="134"/>
  <c r="H14" i="134"/>
  <c r="I13" i="134"/>
  <c r="H13" i="134"/>
  <c r="I12" i="134"/>
  <c r="H12" i="134"/>
  <c r="I11" i="134"/>
  <c r="H11" i="134"/>
  <c r="I10" i="134"/>
  <c r="H10" i="134"/>
  <c r="I9" i="134"/>
  <c r="H9" i="134"/>
  <c r="I15" i="133"/>
  <c r="H15" i="133"/>
  <c r="I14" i="133"/>
  <c r="H14" i="133"/>
  <c r="I13" i="133"/>
  <c r="H13" i="133"/>
  <c r="I12" i="133"/>
  <c r="H12" i="133"/>
  <c r="I11" i="133"/>
  <c r="H11" i="133"/>
  <c r="I10" i="133"/>
  <c r="H10" i="133"/>
  <c r="I9" i="133"/>
  <c r="H9" i="133"/>
  <c r="C26" i="126"/>
  <c r="C25" i="126"/>
  <c r="C23" i="126"/>
  <c r="C22" i="126"/>
  <c r="C20" i="126"/>
  <c r="C19" i="126"/>
  <c r="C17" i="126"/>
  <c r="C16" i="126"/>
  <c r="C14" i="126"/>
  <c r="C13" i="126"/>
  <c r="C11" i="126"/>
  <c r="C10" i="126"/>
  <c r="C7" i="126"/>
  <c r="C8" i="126"/>
  <c r="G3" i="122" l="1"/>
  <c r="I3" i="113" s="1"/>
  <c r="F3" i="122"/>
  <c r="H3" i="113" s="1"/>
  <c r="E3" i="122"/>
  <c r="JA27" i="94"/>
  <c r="IC27" i="94"/>
  <c r="HE27" i="94"/>
  <c r="GG27" i="94"/>
  <c r="FI27" i="94"/>
  <c r="EK27" i="94"/>
  <c r="DM27" i="94"/>
  <c r="CO27" i="94"/>
  <c r="BQ27" i="94"/>
  <c r="AS27" i="94"/>
  <c r="JA26" i="94"/>
  <c r="IC26" i="94"/>
  <c r="HE26" i="94"/>
  <c r="GG26" i="94"/>
  <c r="FI26" i="94"/>
  <c r="EK26" i="94"/>
  <c r="DM26" i="94"/>
  <c r="CO26" i="94"/>
  <c r="BQ26" i="94"/>
  <c r="AS26" i="94"/>
  <c r="JA25" i="94"/>
  <c r="IC25" i="94"/>
  <c r="HE25" i="94"/>
  <c r="GG25" i="94"/>
  <c r="FI25" i="94"/>
  <c r="EK25" i="94"/>
  <c r="DM25" i="94"/>
  <c r="CO25" i="94"/>
  <c r="BQ25" i="94"/>
  <c r="AS25" i="94"/>
  <c r="JA24" i="94"/>
  <c r="IC24" i="94"/>
  <c r="HE24" i="94"/>
  <c r="GG24" i="94"/>
  <c r="FI24" i="94"/>
  <c r="EK24" i="94"/>
  <c r="DM24" i="94"/>
  <c r="CO24" i="94"/>
  <c r="BQ24" i="94"/>
  <c r="AS24" i="94"/>
  <c r="JA23" i="94"/>
  <c r="IC23" i="94"/>
  <c r="HE23" i="94"/>
  <c r="GG23" i="94"/>
  <c r="FI23" i="94"/>
  <c r="EK23" i="94"/>
  <c r="DM23" i="94"/>
  <c r="CO23" i="94"/>
  <c r="BQ23" i="94"/>
  <c r="AS23" i="94"/>
  <c r="JA18" i="94"/>
  <c r="IC18" i="94"/>
  <c r="HE18" i="94"/>
  <c r="GG18" i="94"/>
  <c r="FI18" i="94"/>
  <c r="EK18" i="94"/>
  <c r="DM18" i="94"/>
  <c r="CO18" i="94"/>
  <c r="BQ18" i="94"/>
  <c r="AS18" i="94"/>
  <c r="JA17" i="94"/>
  <c r="IC17" i="94"/>
  <c r="GG17" i="94"/>
  <c r="FI17" i="94"/>
  <c r="DM17" i="94"/>
  <c r="AS17" i="94"/>
  <c r="JA16" i="94"/>
  <c r="IC16" i="94"/>
  <c r="HE16" i="94"/>
  <c r="GG16" i="94"/>
  <c r="FI16" i="94"/>
  <c r="EK16" i="94"/>
  <c r="DM16" i="94"/>
  <c r="CO16" i="94"/>
  <c r="BQ16" i="94"/>
  <c r="AS16" i="94"/>
  <c r="JA15" i="94"/>
  <c r="IC15" i="94"/>
  <c r="HE15" i="94"/>
  <c r="GG15" i="94"/>
  <c r="FI15" i="94"/>
  <c r="EK15" i="94"/>
  <c r="DM15" i="94"/>
  <c r="CO15" i="94"/>
  <c r="BQ15" i="94"/>
  <c r="AS15" i="94"/>
  <c r="JA14" i="94"/>
  <c r="IC14" i="94"/>
  <c r="HE14" i="94"/>
  <c r="GG14" i="94"/>
  <c r="FI14" i="94"/>
  <c r="EK14" i="94"/>
  <c r="DM14" i="94"/>
  <c r="CO14" i="94"/>
  <c r="BQ14" i="94"/>
  <c r="AS14" i="94"/>
  <c r="JA9" i="94"/>
  <c r="IC9" i="94"/>
  <c r="HE9" i="94"/>
  <c r="GG9" i="94"/>
  <c r="FI9" i="94"/>
  <c r="EK9" i="94"/>
  <c r="DM9" i="94"/>
  <c r="CO9" i="94"/>
  <c r="BQ9" i="94"/>
  <c r="AS9" i="94"/>
  <c r="JA8" i="94"/>
  <c r="IC8" i="94"/>
  <c r="HE8" i="94"/>
  <c r="GG8" i="94"/>
  <c r="FI8" i="94"/>
  <c r="EK8" i="94"/>
  <c r="DM8" i="94"/>
  <c r="CO8" i="94"/>
  <c r="BQ8" i="94"/>
  <c r="AS8" i="94"/>
  <c r="JA7" i="94"/>
  <c r="IC7" i="94"/>
  <c r="HE7" i="94"/>
  <c r="GG7" i="94"/>
  <c r="FI7" i="94"/>
  <c r="EK7" i="94"/>
  <c r="DM7" i="94"/>
  <c r="CO7" i="94"/>
  <c r="BQ7" i="94"/>
  <c r="AS7" i="94"/>
  <c r="JA6" i="94"/>
  <c r="IC6" i="94"/>
  <c r="HE6" i="94"/>
  <c r="GG6" i="94"/>
  <c r="FI6" i="94"/>
  <c r="EK6" i="94"/>
  <c r="DM6" i="94"/>
  <c r="CO6" i="94"/>
  <c r="BQ6" i="94"/>
  <c r="AS6" i="94"/>
  <c r="JA5" i="94"/>
  <c r="IC5" i="94"/>
  <c r="HE5" i="94"/>
  <c r="GG5" i="94"/>
  <c r="FI5" i="94"/>
  <c r="EK5" i="94"/>
  <c r="DM5" i="94"/>
  <c r="CO5" i="94"/>
  <c r="BQ5" i="94"/>
  <c r="AS5" i="94"/>
  <c r="H3" i="95" l="1"/>
  <c r="H3" i="118"/>
  <c r="H3" i="86"/>
  <c r="H3" i="139"/>
  <c r="H3" i="124"/>
  <c r="I3" i="95"/>
  <c r="I3" i="118"/>
  <c r="I3" i="86"/>
  <c r="I3" i="139"/>
  <c r="I3" i="124"/>
  <c r="H3" i="135"/>
  <c r="H3" i="96"/>
  <c r="H3" i="119"/>
  <c r="H3" i="99"/>
  <c r="H3" i="97"/>
  <c r="H3" i="138"/>
  <c r="H3" i="133"/>
  <c r="I3" i="135"/>
  <c r="I3" i="96"/>
  <c r="I3" i="119"/>
  <c r="I3" i="99"/>
  <c r="I3" i="97"/>
  <c r="I3" i="138"/>
  <c r="I3" i="133"/>
  <c r="H3" i="123"/>
  <c r="H3" i="120"/>
  <c r="H3" i="136"/>
  <c r="H3" i="117"/>
  <c r="H3" i="140"/>
  <c r="I3" i="123"/>
  <c r="I3" i="120"/>
  <c r="I3" i="136"/>
  <c r="I3" i="117"/>
  <c r="I3" i="140"/>
  <c r="H3" i="134"/>
  <c r="H3" i="98"/>
  <c r="H3" i="137"/>
  <c r="H3" i="132"/>
  <c r="H3" i="91"/>
  <c r="H3" i="116"/>
  <c r="I3" i="134"/>
  <c r="I3" i="98"/>
  <c r="I3" i="137"/>
  <c r="I3" i="132"/>
  <c r="I3" i="91"/>
  <c r="I3" i="116"/>
  <c r="F18" i="145"/>
  <c r="JY3" i="94"/>
  <c r="JX3" i="94"/>
  <c r="JW3" i="94"/>
  <c r="JV3" i="94"/>
  <c r="JU3" i="94"/>
  <c r="JT3" i="94"/>
  <c r="JS3" i="94"/>
  <c r="JR3" i="94"/>
  <c r="JQ3" i="94"/>
  <c r="JP3" i="94"/>
  <c r="JO3" i="94"/>
  <c r="JN3" i="94"/>
  <c r="JM3" i="94"/>
  <c r="JL3" i="94"/>
  <c r="JK3" i="94"/>
  <c r="JJ3" i="94"/>
  <c r="JI3" i="94"/>
  <c r="JH3" i="94"/>
  <c r="JG3" i="94"/>
  <c r="JF3" i="94"/>
  <c r="JE3" i="94"/>
  <c r="JD3" i="94"/>
  <c r="JC3" i="94"/>
  <c r="JB3" i="94"/>
  <c r="F22" i="145" l="1"/>
  <c r="C15" i="145"/>
  <c r="D18" i="145"/>
  <c r="F21" i="145"/>
  <c r="F19" i="145"/>
  <c r="C18" i="145"/>
  <c r="D22" i="145"/>
  <c r="F16" i="145"/>
  <c r="C19" i="145"/>
  <c r="C22" i="145"/>
  <c r="D16" i="145"/>
  <c r="F17" i="145"/>
  <c r="C16" i="145"/>
  <c r="D17" i="145"/>
  <c r="C17" i="145"/>
  <c r="F15" i="145"/>
  <c r="E17" i="145" l="1"/>
  <c r="G17" i="145"/>
  <c r="E18" i="145"/>
  <c r="G18" i="145"/>
  <c r="E16" i="145"/>
  <c r="G16" i="145"/>
  <c r="G22" i="145"/>
  <c r="E22" i="145"/>
  <c r="E15" i="145"/>
  <c r="G15" i="145"/>
  <c r="G19" i="145"/>
  <c r="E19" i="145"/>
  <c r="IW27" i="94"/>
  <c r="IW26" i="94"/>
  <c r="IW25" i="94"/>
  <c r="IW24" i="94"/>
  <c r="IW23" i="94"/>
  <c r="IW18" i="94"/>
  <c r="IW17" i="94"/>
  <c r="IW16" i="94"/>
  <c r="IW15" i="94"/>
  <c r="IW14" i="94"/>
  <c r="IW9" i="94"/>
  <c r="IW8" i="94"/>
  <c r="IW7" i="94"/>
  <c r="IW5" i="94"/>
  <c r="HY27" i="94"/>
  <c r="HY26" i="94"/>
  <c r="HY25" i="94"/>
  <c r="HY24" i="94"/>
  <c r="HY23" i="94"/>
  <c r="HY18" i="94"/>
  <c r="HY17" i="94"/>
  <c r="HY16" i="94"/>
  <c r="HY15" i="94"/>
  <c r="HY14" i="94"/>
  <c r="HY9" i="94"/>
  <c r="HY8" i="94"/>
  <c r="HY7" i="94"/>
  <c r="HY5" i="94"/>
  <c r="HA27" i="94"/>
  <c r="HA26" i="94"/>
  <c r="HA25" i="94"/>
  <c r="HA24" i="94"/>
  <c r="HA23" i="94"/>
  <c r="HA18" i="94"/>
  <c r="HA17" i="94"/>
  <c r="HA16" i="94"/>
  <c r="HA15" i="94"/>
  <c r="HA9" i="94"/>
  <c r="HA8" i="94"/>
  <c r="HA7" i="94"/>
  <c r="HA5" i="94"/>
  <c r="GC27" i="94"/>
  <c r="GC26" i="94"/>
  <c r="GC25" i="94"/>
  <c r="GC24" i="94"/>
  <c r="GC23" i="94"/>
  <c r="GC18" i="94"/>
  <c r="GC17" i="94"/>
  <c r="GC16" i="94"/>
  <c r="GC15" i="94"/>
  <c r="GC9" i="94"/>
  <c r="GC8" i="94"/>
  <c r="GC7" i="94"/>
  <c r="GC5" i="94"/>
  <c r="FE27" i="94"/>
  <c r="FE26" i="94"/>
  <c r="FE25" i="94"/>
  <c r="FE24" i="94"/>
  <c r="FE23" i="94"/>
  <c r="FE18" i="94"/>
  <c r="FE17" i="94"/>
  <c r="FE16" i="94"/>
  <c r="FE15" i="94"/>
  <c r="FE9" i="94"/>
  <c r="FE8" i="94"/>
  <c r="FE7" i="94"/>
  <c r="FE5" i="94"/>
  <c r="EG27" i="94"/>
  <c r="EG26" i="94"/>
  <c r="EG25" i="94"/>
  <c r="EG24" i="94"/>
  <c r="EG23" i="94"/>
  <c r="EG18" i="94"/>
  <c r="EG17" i="94"/>
  <c r="EG16" i="94"/>
  <c r="EG15" i="94"/>
  <c r="EG9" i="94"/>
  <c r="EG8" i="94"/>
  <c r="EG7" i="94"/>
  <c r="EG5" i="94"/>
  <c r="BM27" i="94"/>
  <c r="BM26" i="94"/>
  <c r="BM25" i="94"/>
  <c r="BM24" i="94"/>
  <c r="BM23" i="94"/>
  <c r="BM18" i="94"/>
  <c r="BM17" i="94"/>
  <c r="BM16" i="94"/>
  <c r="BM15" i="94"/>
  <c r="BM9" i="94"/>
  <c r="BM8" i="94"/>
  <c r="BM7" i="94"/>
  <c r="BM5" i="94"/>
  <c r="AO27" i="94"/>
  <c r="AO26" i="94"/>
  <c r="AO25" i="94"/>
  <c r="AO24" i="94"/>
  <c r="AO23" i="94"/>
  <c r="AO18" i="94"/>
  <c r="AO17" i="94"/>
  <c r="AO16" i="94"/>
  <c r="AO15" i="94"/>
  <c r="AO14" i="94"/>
  <c r="AO9" i="94"/>
  <c r="AO8" i="94"/>
  <c r="AO7" i="94"/>
  <c r="AO5" i="94"/>
  <c r="CK27" i="94"/>
  <c r="CK26" i="94"/>
  <c r="CK25" i="94"/>
  <c r="CK24" i="94"/>
  <c r="CK23" i="94"/>
  <c r="CK18" i="94"/>
  <c r="CK17" i="94"/>
  <c r="CK16" i="94"/>
  <c r="CK15" i="94"/>
  <c r="CK9" i="94"/>
  <c r="CK8" i="94"/>
  <c r="CK7" i="94"/>
  <c r="DI27" i="94"/>
  <c r="DI26" i="94"/>
  <c r="DI25" i="94"/>
  <c r="DI24" i="94"/>
  <c r="DI23" i="94"/>
  <c r="DI18" i="94"/>
  <c r="DI17" i="94"/>
  <c r="DI16" i="94"/>
  <c r="DI15" i="94"/>
  <c r="DI14" i="94"/>
  <c r="DI9" i="94"/>
  <c r="DI8" i="94"/>
  <c r="DI7" i="94"/>
  <c r="DI5" i="94"/>
  <c r="IY27" i="94"/>
  <c r="IY26" i="94"/>
  <c r="IY25" i="94"/>
  <c r="IY24" i="94"/>
  <c r="IY23" i="94"/>
  <c r="IY18" i="94"/>
  <c r="IY17" i="94"/>
  <c r="IY15" i="94"/>
  <c r="IY14" i="94"/>
  <c r="IY9" i="94"/>
  <c r="IY8" i="94"/>
  <c r="IY7" i="94"/>
  <c r="IY6" i="94"/>
  <c r="IY5" i="94"/>
  <c r="IA27" i="94"/>
  <c r="IA26" i="94"/>
  <c r="IA25" i="94"/>
  <c r="IA24" i="94"/>
  <c r="IA23" i="94"/>
  <c r="IA18" i="94"/>
  <c r="IA17" i="94"/>
  <c r="IA15" i="94"/>
  <c r="IA14" i="94"/>
  <c r="IA9" i="94"/>
  <c r="IA8" i="94"/>
  <c r="IA7" i="94"/>
  <c r="IA6" i="94"/>
  <c r="IA5" i="94"/>
  <c r="HC27" i="94"/>
  <c r="HC26" i="94"/>
  <c r="HC25" i="94"/>
  <c r="HC24" i="94"/>
  <c r="HC23" i="94"/>
  <c r="HC18" i="94"/>
  <c r="HC17" i="94"/>
  <c r="HC15" i="94"/>
  <c r="HC14" i="94"/>
  <c r="HC9" i="94"/>
  <c r="HC8" i="94"/>
  <c r="HC6" i="94"/>
  <c r="HC5" i="94"/>
  <c r="GE27" i="94"/>
  <c r="GE26" i="94"/>
  <c r="GE25" i="94"/>
  <c r="GE24" i="94"/>
  <c r="GE23" i="94"/>
  <c r="GE18" i="94"/>
  <c r="GE17" i="94"/>
  <c r="GE15" i="94"/>
  <c r="GE14" i="94"/>
  <c r="GE9" i="94"/>
  <c r="GE8" i="94"/>
  <c r="GE6" i="94"/>
  <c r="GE5" i="94"/>
  <c r="FG27" i="94"/>
  <c r="FG26" i="94"/>
  <c r="FG25" i="94"/>
  <c r="FG24" i="94"/>
  <c r="FG23" i="94"/>
  <c r="FG18" i="94"/>
  <c r="FG17" i="94"/>
  <c r="FG15" i="94"/>
  <c r="FG14" i="94"/>
  <c r="FG9" i="94"/>
  <c r="FG8" i="94"/>
  <c r="FG6" i="94"/>
  <c r="FG5" i="94"/>
  <c r="EI27" i="94"/>
  <c r="EI26" i="94"/>
  <c r="EI25" i="94"/>
  <c r="EI24" i="94"/>
  <c r="EI23" i="94"/>
  <c r="EI18" i="94"/>
  <c r="EI17" i="94"/>
  <c r="EI15" i="94"/>
  <c r="EI14" i="94"/>
  <c r="EI9" i="94"/>
  <c r="EI8" i="94"/>
  <c r="EI6" i="94"/>
  <c r="EI5" i="94"/>
  <c r="DK27" i="94"/>
  <c r="DK26" i="94"/>
  <c r="DK25" i="94"/>
  <c r="DK24" i="94"/>
  <c r="DK23" i="94"/>
  <c r="DK18" i="94"/>
  <c r="DK17" i="94"/>
  <c r="DK15" i="94"/>
  <c r="DK14" i="94"/>
  <c r="DK9" i="94"/>
  <c r="DK8" i="94"/>
  <c r="DK7" i="94"/>
  <c r="DK6" i="94"/>
  <c r="DK5" i="94"/>
  <c r="CM27" i="94"/>
  <c r="CM26" i="94"/>
  <c r="CM25" i="94"/>
  <c r="CM24" i="94"/>
  <c r="CM23" i="94"/>
  <c r="CM18" i="94"/>
  <c r="CM17" i="94"/>
  <c r="CM15" i="94"/>
  <c r="CM14" i="94"/>
  <c r="CM9" i="94"/>
  <c r="CM8" i="94"/>
  <c r="CM6" i="94"/>
  <c r="CM5" i="94"/>
  <c r="BO27" i="94"/>
  <c r="BO26" i="94"/>
  <c r="BO25" i="94"/>
  <c r="BO24" i="94"/>
  <c r="BO23" i="94"/>
  <c r="BO18" i="94"/>
  <c r="BO17" i="94"/>
  <c r="BO15" i="94"/>
  <c r="BO14" i="94"/>
  <c r="BO9" i="94"/>
  <c r="BO8" i="94"/>
  <c r="BO6" i="94"/>
  <c r="BO5" i="94"/>
  <c r="AQ27" i="94"/>
  <c r="AQ26" i="94"/>
  <c r="AQ25" i="94"/>
  <c r="AQ24" i="94"/>
  <c r="AQ23" i="94"/>
  <c r="AQ18" i="94"/>
  <c r="AQ17" i="94"/>
  <c r="AQ15" i="94"/>
  <c r="AQ14" i="94"/>
  <c r="AQ9" i="94"/>
  <c r="AQ8" i="94"/>
  <c r="AQ7" i="94"/>
  <c r="AQ6" i="94"/>
  <c r="AQ5" i="94"/>
  <c r="IX27" i="94"/>
  <c r="IX26" i="94"/>
  <c r="IX25" i="94"/>
  <c r="IX24" i="94"/>
  <c r="IX23" i="94"/>
  <c r="IX18" i="94"/>
  <c r="IX17" i="94"/>
  <c r="IX16" i="94"/>
  <c r="IX15" i="94"/>
  <c r="IX14" i="94"/>
  <c r="IX9" i="94"/>
  <c r="IX8" i="94"/>
  <c r="IX7" i="94"/>
  <c r="IX6" i="94"/>
  <c r="IX5" i="94"/>
  <c r="HZ27" i="94"/>
  <c r="HZ26" i="94"/>
  <c r="HZ25" i="94"/>
  <c r="HZ24" i="94"/>
  <c r="HZ23" i="94"/>
  <c r="HZ18" i="94"/>
  <c r="HZ17" i="94"/>
  <c r="HZ16" i="94"/>
  <c r="HZ15" i="94"/>
  <c r="HZ14" i="94"/>
  <c r="HZ9" i="94"/>
  <c r="HZ8" i="94"/>
  <c r="HZ7" i="94"/>
  <c r="HZ6" i="94"/>
  <c r="HZ5" i="94"/>
  <c r="HB27" i="94"/>
  <c r="HB26" i="94"/>
  <c r="HB25" i="94"/>
  <c r="HB24" i="94"/>
  <c r="HB23" i="94"/>
  <c r="HB18" i="94"/>
  <c r="HB17" i="94"/>
  <c r="HB16" i="94"/>
  <c r="HB14" i="94"/>
  <c r="HB9" i="94"/>
  <c r="HB8" i="94"/>
  <c r="HB7" i="94"/>
  <c r="HB5" i="94"/>
  <c r="GD27" i="94"/>
  <c r="GD26" i="94"/>
  <c r="GD25" i="94"/>
  <c r="GD24" i="94"/>
  <c r="GD23" i="94"/>
  <c r="GD18" i="94"/>
  <c r="GD17" i="94"/>
  <c r="GD16" i="94"/>
  <c r="GD14" i="94"/>
  <c r="GD9" i="94"/>
  <c r="GD8" i="94"/>
  <c r="GD7" i="94"/>
  <c r="GD5" i="94"/>
  <c r="FF27" i="94"/>
  <c r="FF26" i="94"/>
  <c r="FF25" i="94"/>
  <c r="FF24" i="94"/>
  <c r="FF23" i="94"/>
  <c r="FF18" i="94"/>
  <c r="FF17" i="94"/>
  <c r="FF16" i="94"/>
  <c r="FF14" i="94"/>
  <c r="FF9" i="94"/>
  <c r="FF8" i="94"/>
  <c r="FF7" i="94"/>
  <c r="FF5" i="94"/>
  <c r="EH27" i="94"/>
  <c r="EH26" i="94"/>
  <c r="EH25" i="94"/>
  <c r="EH24" i="94"/>
  <c r="EH23" i="94"/>
  <c r="EH18" i="94"/>
  <c r="EH17" i="94"/>
  <c r="EH16" i="94"/>
  <c r="EH14" i="94"/>
  <c r="EH9" i="94"/>
  <c r="EH8" i="94"/>
  <c r="EH7" i="94"/>
  <c r="EH5" i="94"/>
  <c r="DJ27" i="94"/>
  <c r="DJ26" i="94"/>
  <c r="DJ25" i="94"/>
  <c r="DJ24" i="94"/>
  <c r="DJ23" i="94"/>
  <c r="DJ18" i="94"/>
  <c r="DJ17" i="94"/>
  <c r="DJ16" i="94"/>
  <c r="DJ15" i="94"/>
  <c r="DJ14" i="94"/>
  <c r="DJ9" i="94"/>
  <c r="DJ8" i="94"/>
  <c r="DJ7" i="94"/>
  <c r="DJ6" i="94"/>
  <c r="DJ5" i="94"/>
  <c r="CL27" i="94"/>
  <c r="CL26" i="94"/>
  <c r="CL25" i="94"/>
  <c r="CL24" i="94"/>
  <c r="CL23" i="94"/>
  <c r="CL18" i="94"/>
  <c r="CL17" i="94"/>
  <c r="CL16" i="94"/>
  <c r="CL14" i="94"/>
  <c r="CL9" i="94"/>
  <c r="CL8" i="94"/>
  <c r="CL7" i="94"/>
  <c r="CL5" i="94"/>
  <c r="BN27" i="94"/>
  <c r="BN26" i="94"/>
  <c r="BN25" i="94"/>
  <c r="BN24" i="94"/>
  <c r="BN23" i="94"/>
  <c r="BN18" i="94"/>
  <c r="BN17" i="94"/>
  <c r="BN16" i="94"/>
  <c r="BN14" i="94"/>
  <c r="BN9" i="94"/>
  <c r="BN8" i="94"/>
  <c r="BN7" i="94"/>
  <c r="BN5" i="94"/>
  <c r="AP27" i="94"/>
  <c r="AP26" i="94"/>
  <c r="AP25" i="94"/>
  <c r="AP24" i="94"/>
  <c r="AP23" i="94"/>
  <c r="AP18" i="94"/>
  <c r="AP17" i="94"/>
  <c r="AP16" i="94"/>
  <c r="AP15" i="94"/>
  <c r="AP14" i="94"/>
  <c r="AP9" i="94"/>
  <c r="AP8" i="94"/>
  <c r="AP7" i="94"/>
  <c r="AP6" i="94"/>
  <c r="AP5" i="94"/>
  <c r="IO27" i="94"/>
  <c r="IO26" i="94"/>
  <c r="IO25" i="94"/>
  <c r="IO23" i="94"/>
  <c r="IO18" i="94"/>
  <c r="IO17" i="94"/>
  <c r="IO16" i="94"/>
  <c r="IO15" i="94"/>
  <c r="IO14" i="94"/>
  <c r="IO9" i="94"/>
  <c r="IO8" i="94"/>
  <c r="IO7" i="94"/>
  <c r="IO6" i="94"/>
  <c r="IO5" i="94"/>
  <c r="HQ27" i="94"/>
  <c r="HQ26" i="94"/>
  <c r="HQ25" i="94"/>
  <c r="HQ23" i="94"/>
  <c r="HQ18" i="94"/>
  <c r="HQ17" i="94"/>
  <c r="HQ16" i="94"/>
  <c r="HQ15" i="94"/>
  <c r="HQ14" i="94"/>
  <c r="HQ9" i="94"/>
  <c r="HQ8" i="94"/>
  <c r="HQ7" i="94"/>
  <c r="HQ6" i="94"/>
  <c r="HQ5" i="94"/>
  <c r="GS27" i="94"/>
  <c r="GS26" i="94"/>
  <c r="GS25" i="94"/>
  <c r="GS23" i="94"/>
  <c r="GS18" i="94"/>
  <c r="GS17" i="94"/>
  <c r="GS16" i="94"/>
  <c r="GS15" i="94"/>
  <c r="GS14" i="94"/>
  <c r="GS9" i="94"/>
  <c r="GS8" i="94"/>
  <c r="GS7" i="94"/>
  <c r="GS6" i="94"/>
  <c r="GS5" i="94"/>
  <c r="FU27" i="94"/>
  <c r="FU26" i="94"/>
  <c r="FU25" i="94"/>
  <c r="FU23" i="94"/>
  <c r="FU18" i="94"/>
  <c r="FU17" i="94"/>
  <c r="FU16" i="94"/>
  <c r="FU15" i="94"/>
  <c r="FU14" i="94"/>
  <c r="FU9" i="94"/>
  <c r="FU8" i="94"/>
  <c r="FU7" i="94"/>
  <c r="FU6" i="94"/>
  <c r="FU5" i="94"/>
  <c r="EW27" i="94"/>
  <c r="EW26" i="94"/>
  <c r="EW25" i="94"/>
  <c r="EW23" i="94"/>
  <c r="EW18" i="94"/>
  <c r="EW17" i="94"/>
  <c r="EW16" i="94"/>
  <c r="EW15" i="94"/>
  <c r="EW14" i="94"/>
  <c r="EW9" i="94"/>
  <c r="EW8" i="94"/>
  <c r="EW7" i="94"/>
  <c r="EW6" i="94"/>
  <c r="EW5" i="94"/>
  <c r="DY27" i="94"/>
  <c r="DY26" i="94"/>
  <c r="DY25" i="94"/>
  <c r="DY23" i="94"/>
  <c r="DY18" i="94"/>
  <c r="DY17" i="94"/>
  <c r="DY16" i="94"/>
  <c r="DY15" i="94"/>
  <c r="DY14" i="94"/>
  <c r="DY9" i="94"/>
  <c r="DY8" i="94"/>
  <c r="DY7" i="94"/>
  <c r="DY6" i="94"/>
  <c r="DY5" i="94"/>
  <c r="DA27" i="94"/>
  <c r="DA26" i="94"/>
  <c r="DA25" i="94"/>
  <c r="DA23" i="94"/>
  <c r="DA18" i="94"/>
  <c r="DA17" i="94"/>
  <c r="DA16" i="94"/>
  <c r="DA15" i="94"/>
  <c r="DA14" i="94"/>
  <c r="DA9" i="94"/>
  <c r="DA8" i="94"/>
  <c r="DA7" i="94"/>
  <c r="DA6" i="94"/>
  <c r="DA5" i="94"/>
  <c r="CC27" i="94"/>
  <c r="CC26" i="94"/>
  <c r="CC25" i="94"/>
  <c r="CC23" i="94"/>
  <c r="CC18" i="94"/>
  <c r="CC17" i="94"/>
  <c r="CC16" i="94"/>
  <c r="CC15" i="94"/>
  <c r="CC14" i="94"/>
  <c r="CC9" i="94"/>
  <c r="CC8" i="94"/>
  <c r="CC7" i="94"/>
  <c r="CC6" i="94"/>
  <c r="CC5" i="94"/>
  <c r="BE27" i="94"/>
  <c r="BE26" i="94"/>
  <c r="BE25" i="94"/>
  <c r="BE23" i="94"/>
  <c r="BE18" i="94"/>
  <c r="BE17" i="94"/>
  <c r="BE16" i="94"/>
  <c r="BE15" i="94"/>
  <c r="BE14" i="94"/>
  <c r="BE9" i="94"/>
  <c r="BE8" i="94"/>
  <c r="BE7" i="94"/>
  <c r="BE6" i="94"/>
  <c r="BE5" i="94"/>
  <c r="AG27" i="94"/>
  <c r="AG26" i="94"/>
  <c r="AG25" i="94"/>
  <c r="AG23" i="94"/>
  <c r="AG18" i="94"/>
  <c r="AG17" i="94"/>
  <c r="AG16" i="94"/>
  <c r="AG15" i="94"/>
  <c r="AG14" i="94"/>
  <c r="AG9" i="94"/>
  <c r="AG8" i="94"/>
  <c r="AG7" i="94"/>
  <c r="AG6" i="94"/>
  <c r="AG5" i="94"/>
  <c r="IP27" i="94"/>
  <c r="IP26" i="94"/>
  <c r="IP24" i="94"/>
  <c r="IP23" i="94"/>
  <c r="IP18" i="94"/>
  <c r="IP17" i="94"/>
  <c r="IP16" i="94"/>
  <c r="IP15" i="94"/>
  <c r="IP14" i="94"/>
  <c r="IP9" i="94"/>
  <c r="IP8" i="94"/>
  <c r="IP7" i="94"/>
  <c r="IP6" i="94"/>
  <c r="IP5" i="94"/>
  <c r="HR27" i="94"/>
  <c r="HR26" i="94"/>
  <c r="HR24" i="94"/>
  <c r="HR23" i="94"/>
  <c r="HR18" i="94"/>
  <c r="HR17" i="94"/>
  <c r="HR16" i="94"/>
  <c r="HR15" i="94"/>
  <c r="HR14" i="94"/>
  <c r="HR9" i="94"/>
  <c r="HR8" i="94"/>
  <c r="HR7" i="94"/>
  <c r="HR6" i="94"/>
  <c r="HR5" i="94"/>
  <c r="GT27" i="94"/>
  <c r="GT26" i="94"/>
  <c r="GT24" i="94"/>
  <c r="GT23" i="94"/>
  <c r="GT18" i="94"/>
  <c r="GT17" i="94"/>
  <c r="GT16" i="94"/>
  <c r="GT15" i="94"/>
  <c r="GT14" i="94"/>
  <c r="GT9" i="94"/>
  <c r="GT8" i="94"/>
  <c r="GT7" i="94"/>
  <c r="GT6" i="94"/>
  <c r="GT5" i="94"/>
  <c r="FV27" i="94"/>
  <c r="FV26" i="94"/>
  <c r="FV24" i="94"/>
  <c r="FV23" i="94"/>
  <c r="FV18" i="94"/>
  <c r="FV17" i="94"/>
  <c r="FV16" i="94"/>
  <c r="FV15" i="94"/>
  <c r="FV14" i="94"/>
  <c r="FV9" i="94"/>
  <c r="FV8" i="94"/>
  <c r="FV7" i="94"/>
  <c r="FV6" i="94"/>
  <c r="FV5" i="94"/>
  <c r="EX27" i="94"/>
  <c r="EX26" i="94"/>
  <c r="EX24" i="94"/>
  <c r="EX23" i="94"/>
  <c r="EX18" i="94"/>
  <c r="EX17" i="94"/>
  <c r="EX16" i="94"/>
  <c r="EX15" i="94"/>
  <c r="EX14" i="94"/>
  <c r="EX9" i="94"/>
  <c r="EX8" i="94"/>
  <c r="EX7" i="94"/>
  <c r="EX6" i="94"/>
  <c r="EX5" i="94"/>
  <c r="DZ27" i="94"/>
  <c r="DZ26" i="94"/>
  <c r="DZ24" i="94"/>
  <c r="DZ23" i="94"/>
  <c r="DZ18" i="94"/>
  <c r="DZ17" i="94"/>
  <c r="DZ16" i="94"/>
  <c r="DZ15" i="94"/>
  <c r="DZ14" i="94"/>
  <c r="DZ9" i="94"/>
  <c r="DZ8" i="94"/>
  <c r="DZ7" i="94"/>
  <c r="DZ6" i="94"/>
  <c r="DZ5" i="94"/>
  <c r="DB27" i="94"/>
  <c r="DB26" i="94"/>
  <c r="DB24" i="94"/>
  <c r="DB23" i="94"/>
  <c r="DB18" i="94"/>
  <c r="DB17" i="94"/>
  <c r="DB16" i="94"/>
  <c r="DB15" i="94"/>
  <c r="DB14" i="94"/>
  <c r="DB9" i="94"/>
  <c r="DB8" i="94"/>
  <c r="DB7" i="94"/>
  <c r="DB6" i="94"/>
  <c r="DB5" i="94"/>
  <c r="CD27" i="94"/>
  <c r="CD26" i="94"/>
  <c r="CD24" i="94"/>
  <c r="CD23" i="94"/>
  <c r="CD18" i="94"/>
  <c r="CD17" i="94"/>
  <c r="CD16" i="94"/>
  <c r="CD15" i="94"/>
  <c r="CD14" i="94"/>
  <c r="CD9" i="94"/>
  <c r="CD8" i="94"/>
  <c r="CD7" i="94"/>
  <c r="CD6" i="94"/>
  <c r="CD5" i="94"/>
  <c r="BF27" i="94"/>
  <c r="BF26" i="94"/>
  <c r="BF24" i="94"/>
  <c r="BF23" i="94"/>
  <c r="BF18" i="94"/>
  <c r="BF17" i="94"/>
  <c r="BF16" i="94"/>
  <c r="BF15" i="94"/>
  <c r="BF14" i="94"/>
  <c r="BF9" i="94"/>
  <c r="BF8" i="94"/>
  <c r="BF7" i="94"/>
  <c r="BF6" i="94"/>
  <c r="BF5" i="94"/>
  <c r="AH27" i="94"/>
  <c r="AH26" i="94"/>
  <c r="AH24" i="94"/>
  <c r="AH23" i="94"/>
  <c r="AH18" i="94"/>
  <c r="AH17" i="94"/>
  <c r="AH16" i="94"/>
  <c r="AH15" i="94"/>
  <c r="AH14" i="94"/>
  <c r="AH9" i="94"/>
  <c r="AH8" i="94"/>
  <c r="AH7" i="94"/>
  <c r="AH6" i="94"/>
  <c r="AH5" i="94"/>
  <c r="AD3" i="94"/>
  <c r="AH3" i="94"/>
  <c r="AG3" i="94"/>
  <c r="V3" i="94"/>
  <c r="W3" i="94"/>
  <c r="AO3" i="94"/>
  <c r="X3" i="94"/>
  <c r="Z3" i="94"/>
  <c r="AP3" i="94"/>
  <c r="AK3" i="94"/>
  <c r="AI3" i="94"/>
  <c r="AJ3" i="94"/>
  <c r="AA3" i="94"/>
  <c r="AQ3" i="94"/>
  <c r="AC3" i="94"/>
  <c r="AB3" i="94"/>
  <c r="AN3" i="94"/>
  <c r="AM3" i="94"/>
  <c r="AL3" i="94"/>
  <c r="AR3" i="94"/>
  <c r="Y3" i="94"/>
  <c r="AS3" i="94"/>
  <c r="AE3" i="94"/>
  <c r="AF3" i="94"/>
  <c r="HD27" i="94" l="1"/>
  <c r="GX27" i="94"/>
  <c r="GY27" i="94"/>
  <c r="GZ27" i="94"/>
  <c r="GU27" i="94"/>
  <c r="GW27" i="94"/>
  <c r="HD26" i="94"/>
  <c r="GX26" i="94"/>
  <c r="GY26" i="94"/>
  <c r="GZ26" i="94"/>
  <c r="GV26" i="94"/>
  <c r="GW26" i="94"/>
  <c r="HD25" i="94"/>
  <c r="GX25" i="94"/>
  <c r="GY25" i="94"/>
  <c r="GZ25" i="94"/>
  <c r="GV25" i="94"/>
  <c r="GU25" i="94"/>
  <c r="GW25" i="94"/>
  <c r="HD24" i="94"/>
  <c r="GX24" i="94"/>
  <c r="GY24" i="94"/>
  <c r="GZ24" i="94"/>
  <c r="GV24" i="94"/>
  <c r="GU24" i="94"/>
  <c r="GW24" i="94"/>
  <c r="HD23" i="94"/>
  <c r="GX23" i="94"/>
  <c r="GY23" i="94"/>
  <c r="GZ23" i="94"/>
  <c r="GV23" i="94"/>
  <c r="GU23" i="94"/>
  <c r="GW23" i="94"/>
  <c r="HD18" i="94"/>
  <c r="GX18" i="94"/>
  <c r="GY18" i="94"/>
  <c r="GZ18" i="94"/>
  <c r="GV18" i="94"/>
  <c r="GU18" i="94"/>
  <c r="GW18" i="94"/>
  <c r="GZ17" i="94"/>
  <c r="GV17" i="94"/>
  <c r="GU17" i="94"/>
  <c r="GW17" i="94"/>
  <c r="HD16" i="94"/>
  <c r="GX16" i="94"/>
  <c r="GY16" i="94"/>
  <c r="GZ16" i="94"/>
  <c r="GV16" i="94"/>
  <c r="GU16" i="94"/>
  <c r="GW16" i="94"/>
  <c r="HD15" i="94"/>
  <c r="GX15" i="94"/>
  <c r="GY15" i="94"/>
  <c r="GZ15" i="94"/>
  <c r="GV15" i="94"/>
  <c r="GU15" i="94"/>
  <c r="GW15" i="94"/>
  <c r="HD14" i="94"/>
  <c r="GX14" i="94"/>
  <c r="GY14" i="94"/>
  <c r="GZ14" i="94"/>
  <c r="GV14" i="94"/>
  <c r="GU14" i="94"/>
  <c r="GW14" i="94"/>
  <c r="Q29" i="128"/>
  <c r="Q49" i="128" s="1"/>
  <c r="Q28" i="128"/>
  <c r="V49" i="128" l="1"/>
  <c r="M49" i="128" s="1"/>
  <c r="Q48" i="128"/>
  <c r="M60" i="128"/>
  <c r="M61" i="128"/>
  <c r="M40" i="128"/>
  <c r="M41" i="128"/>
  <c r="M19" i="141"/>
  <c r="N19" i="141"/>
  <c r="O19" i="141"/>
  <c r="O18" i="141"/>
  <c r="N18" i="141"/>
  <c r="M18" i="141"/>
  <c r="G19" i="141"/>
  <c r="H19" i="141"/>
  <c r="I19" i="141"/>
  <c r="K16" i="141"/>
  <c r="V48" i="128" l="1"/>
  <c r="M48" i="128" s="1"/>
  <c r="X6" i="128"/>
  <c r="X15" i="128"/>
  <c r="X5" i="128"/>
  <c r="D115" i="119"/>
  <c r="D115" i="118"/>
  <c r="D115" i="113"/>
  <c r="D115" i="98"/>
  <c r="D115" i="140"/>
  <c r="D115" i="139"/>
  <c r="D115" i="97"/>
  <c r="D115" i="117"/>
  <c r="D115" i="123"/>
  <c r="D115" i="137"/>
  <c r="D115" i="138"/>
  <c r="D115" i="96"/>
  <c r="D115" i="136"/>
  <c r="D115" i="99"/>
  <c r="D115" i="91"/>
  <c r="D115" i="124"/>
  <c r="D115" i="135"/>
  <c r="D115" i="116"/>
  <c r="D115" i="134"/>
  <c r="D115" i="133"/>
  <c r="D115" i="132"/>
  <c r="M20" i="128"/>
  <c r="M19" i="128"/>
  <c r="B58" i="120" l="1"/>
  <c r="C58" i="120"/>
  <c r="D58" i="120"/>
  <c r="E58" i="120"/>
  <c r="G58" i="120" s="1"/>
  <c r="B59" i="120"/>
  <c r="C59" i="120"/>
  <c r="D59" i="120"/>
  <c r="E59" i="120"/>
  <c r="G59" i="120" s="1"/>
  <c r="B60" i="120"/>
  <c r="C60" i="120"/>
  <c r="D60" i="120"/>
  <c r="E60" i="120"/>
  <c r="G60" i="120" s="1"/>
  <c r="B61" i="120"/>
  <c r="C61" i="120"/>
  <c r="D61" i="120"/>
  <c r="E61" i="120"/>
  <c r="G61" i="120" s="1"/>
  <c r="B52" i="120"/>
  <c r="C52" i="120"/>
  <c r="D52" i="120"/>
  <c r="E52" i="120"/>
  <c r="G52" i="120" s="1"/>
  <c r="B53" i="120"/>
  <c r="C53" i="120"/>
  <c r="D53" i="120"/>
  <c r="E53" i="120"/>
  <c r="G53" i="120" s="1"/>
  <c r="B41" i="120"/>
  <c r="C41" i="120"/>
  <c r="D41" i="120"/>
  <c r="E41" i="120"/>
  <c r="G41" i="120" s="1"/>
  <c r="B32" i="120"/>
  <c r="C32" i="120"/>
  <c r="D32" i="120"/>
  <c r="E32" i="120"/>
  <c r="G32" i="120" s="1"/>
  <c r="C15" i="120"/>
  <c r="D15" i="120"/>
  <c r="E15" i="120"/>
  <c r="G15" i="120" s="1"/>
  <c r="B58" i="119"/>
  <c r="C58" i="119"/>
  <c r="D58" i="119"/>
  <c r="E58" i="119"/>
  <c r="G58" i="119" s="1"/>
  <c r="B59" i="119"/>
  <c r="C59" i="119"/>
  <c r="D59" i="119"/>
  <c r="E59" i="119"/>
  <c r="G59" i="119" s="1"/>
  <c r="B52" i="119"/>
  <c r="C52" i="119"/>
  <c r="D52" i="119"/>
  <c r="E52" i="119"/>
  <c r="G52" i="119" s="1"/>
  <c r="B53" i="119"/>
  <c r="C53" i="119"/>
  <c r="D53" i="119"/>
  <c r="E53" i="119"/>
  <c r="G53" i="119" s="1"/>
  <c r="B41" i="119"/>
  <c r="C41" i="119"/>
  <c r="D41" i="119"/>
  <c r="E41" i="119"/>
  <c r="G41" i="119" s="1"/>
  <c r="B42" i="119"/>
  <c r="C42" i="119"/>
  <c r="D42" i="119"/>
  <c r="E42" i="119"/>
  <c r="G42" i="119" s="1"/>
  <c r="B32" i="119"/>
  <c r="C32" i="119"/>
  <c r="D32" i="119"/>
  <c r="E32" i="119"/>
  <c r="G32" i="119" s="1"/>
  <c r="C15" i="119"/>
  <c r="D15" i="119"/>
  <c r="E15" i="119"/>
  <c r="G15" i="119" s="1"/>
  <c r="B58" i="118"/>
  <c r="C58" i="118"/>
  <c r="D58" i="118"/>
  <c r="E58" i="118"/>
  <c r="G58" i="118" s="1"/>
  <c r="B59" i="118"/>
  <c r="C59" i="118"/>
  <c r="D59" i="118"/>
  <c r="E59" i="118"/>
  <c r="B52" i="118"/>
  <c r="C52" i="118"/>
  <c r="D52" i="118"/>
  <c r="E52" i="118"/>
  <c r="G52" i="118" s="1"/>
  <c r="B53" i="118"/>
  <c r="C53" i="118"/>
  <c r="D53" i="118"/>
  <c r="E53" i="118"/>
  <c r="G53" i="118" s="1"/>
  <c r="B41" i="118"/>
  <c r="C41" i="118"/>
  <c r="D41" i="118"/>
  <c r="E41" i="118"/>
  <c r="G41" i="118" s="1"/>
  <c r="B32" i="118"/>
  <c r="C32" i="118"/>
  <c r="D32" i="118"/>
  <c r="E32" i="118"/>
  <c r="G32" i="118" s="1"/>
  <c r="C15" i="118"/>
  <c r="D15" i="118"/>
  <c r="E15" i="118"/>
  <c r="G15" i="118" s="1"/>
  <c r="B58" i="113"/>
  <c r="C58" i="113"/>
  <c r="D58" i="113"/>
  <c r="E58" i="113"/>
  <c r="G58" i="113" s="1"/>
  <c r="B59" i="113"/>
  <c r="C59" i="113"/>
  <c r="D59" i="113"/>
  <c r="E59" i="113"/>
  <c r="G59" i="113" s="1"/>
  <c r="B52" i="113"/>
  <c r="C52" i="113"/>
  <c r="D52" i="113"/>
  <c r="E52" i="113"/>
  <c r="B53" i="113"/>
  <c r="C53" i="113"/>
  <c r="D53" i="113"/>
  <c r="E53" i="113"/>
  <c r="G53" i="113" s="1"/>
  <c r="B41" i="113"/>
  <c r="C41" i="113"/>
  <c r="D41" i="113"/>
  <c r="E41" i="113"/>
  <c r="B32" i="113"/>
  <c r="C32" i="113"/>
  <c r="D32" i="113"/>
  <c r="E32" i="113"/>
  <c r="G32" i="113" s="1"/>
  <c r="C15" i="113"/>
  <c r="D15" i="113"/>
  <c r="E15" i="113"/>
  <c r="G15" i="113" s="1"/>
  <c r="B16" i="113"/>
  <c r="C16" i="113"/>
  <c r="D16" i="113"/>
  <c r="E16" i="113"/>
  <c r="G16" i="113" s="1"/>
  <c r="B58" i="98"/>
  <c r="C58" i="98"/>
  <c r="D58" i="98"/>
  <c r="E58" i="98"/>
  <c r="G58" i="98" s="1"/>
  <c r="B59" i="98"/>
  <c r="C59" i="98"/>
  <c r="D59" i="98"/>
  <c r="E59" i="98"/>
  <c r="B52" i="98"/>
  <c r="C52" i="98"/>
  <c r="D52" i="98"/>
  <c r="E52" i="98"/>
  <c r="G52" i="98" s="1"/>
  <c r="B53" i="98"/>
  <c r="C53" i="98"/>
  <c r="D53" i="98"/>
  <c r="E53" i="98"/>
  <c r="F53" i="98" s="1"/>
  <c r="B41" i="98"/>
  <c r="C41" i="98"/>
  <c r="D41" i="98"/>
  <c r="E41" i="98"/>
  <c r="G41" i="98" s="1"/>
  <c r="B32" i="98"/>
  <c r="C32" i="98"/>
  <c r="D32" i="98"/>
  <c r="E32" i="98"/>
  <c r="G32" i="98" s="1"/>
  <c r="C15" i="98"/>
  <c r="D15" i="98"/>
  <c r="E15" i="98"/>
  <c r="G15" i="98" s="1"/>
  <c r="B58" i="140"/>
  <c r="C58" i="140"/>
  <c r="D58" i="140"/>
  <c r="E58" i="140"/>
  <c r="G58" i="140" s="1"/>
  <c r="B59" i="140"/>
  <c r="C59" i="140"/>
  <c r="D59" i="140"/>
  <c r="E59" i="140"/>
  <c r="G59" i="140" s="1"/>
  <c r="B52" i="140"/>
  <c r="C52" i="140"/>
  <c r="D52" i="140"/>
  <c r="E52" i="140"/>
  <c r="G52" i="140" s="1"/>
  <c r="B53" i="140"/>
  <c r="C53" i="140"/>
  <c r="D53" i="140"/>
  <c r="E53" i="140"/>
  <c r="G53" i="140" s="1"/>
  <c r="B41" i="140"/>
  <c r="C41" i="140"/>
  <c r="D41" i="140"/>
  <c r="E41" i="140"/>
  <c r="G41" i="140" s="1"/>
  <c r="B32" i="140"/>
  <c r="C32" i="140"/>
  <c r="D32" i="140"/>
  <c r="E32" i="140"/>
  <c r="G32" i="140" s="1"/>
  <c r="C15" i="140"/>
  <c r="D15" i="140"/>
  <c r="E15" i="140"/>
  <c r="F15" i="140" s="1"/>
  <c r="B16" i="140"/>
  <c r="C16" i="140"/>
  <c r="D16" i="140"/>
  <c r="E16" i="140"/>
  <c r="G16" i="140" s="1"/>
  <c r="B58" i="139"/>
  <c r="C58" i="139"/>
  <c r="D58" i="139"/>
  <c r="E58" i="139"/>
  <c r="F58" i="139" s="1"/>
  <c r="B59" i="139"/>
  <c r="C59" i="139"/>
  <c r="D59" i="139"/>
  <c r="E59" i="139"/>
  <c r="G59" i="139" s="1"/>
  <c r="B52" i="139"/>
  <c r="C52" i="139"/>
  <c r="D52" i="139"/>
  <c r="E52" i="139"/>
  <c r="G52" i="139" s="1"/>
  <c r="B53" i="139"/>
  <c r="C53" i="139"/>
  <c r="D53" i="139"/>
  <c r="E53" i="139"/>
  <c r="G53" i="139" s="1"/>
  <c r="B41" i="139"/>
  <c r="C41" i="139"/>
  <c r="D41" i="139"/>
  <c r="E41" i="139"/>
  <c r="G41" i="139" s="1"/>
  <c r="B32" i="139"/>
  <c r="C32" i="139"/>
  <c r="D32" i="139"/>
  <c r="E32" i="139"/>
  <c r="G32" i="139" s="1"/>
  <c r="C15" i="139"/>
  <c r="D15" i="139"/>
  <c r="E15" i="139"/>
  <c r="G15" i="139" s="1"/>
  <c r="B58" i="97"/>
  <c r="C58" i="97"/>
  <c r="D58" i="97"/>
  <c r="E58" i="97"/>
  <c r="G58" i="97" s="1"/>
  <c r="B59" i="97"/>
  <c r="C59" i="97"/>
  <c r="D59" i="97"/>
  <c r="E59" i="97"/>
  <c r="G59" i="97" s="1"/>
  <c r="B52" i="97"/>
  <c r="C52" i="97"/>
  <c r="D52" i="97"/>
  <c r="E52" i="97"/>
  <c r="G52" i="97" s="1"/>
  <c r="B53" i="97"/>
  <c r="C53" i="97"/>
  <c r="D53" i="97"/>
  <c r="E53" i="97"/>
  <c r="G53" i="97" s="1"/>
  <c r="B41" i="97"/>
  <c r="C41" i="97"/>
  <c r="D41" i="97"/>
  <c r="E41" i="97"/>
  <c r="G41" i="97" s="1"/>
  <c r="B32" i="97"/>
  <c r="C32" i="97"/>
  <c r="D32" i="97"/>
  <c r="E32" i="97"/>
  <c r="G32" i="97" s="1"/>
  <c r="C15" i="97"/>
  <c r="D15" i="97"/>
  <c r="E15" i="97"/>
  <c r="G15" i="97" s="1"/>
  <c r="B58" i="117"/>
  <c r="C58" i="117"/>
  <c r="D58" i="117"/>
  <c r="E58" i="117"/>
  <c r="G58" i="117" s="1"/>
  <c r="B59" i="117"/>
  <c r="C59" i="117"/>
  <c r="D59" i="117"/>
  <c r="E59" i="117"/>
  <c r="G59" i="117" s="1"/>
  <c r="B52" i="117"/>
  <c r="C52" i="117"/>
  <c r="D52" i="117"/>
  <c r="E52" i="117"/>
  <c r="B53" i="117"/>
  <c r="C53" i="117"/>
  <c r="D53" i="117"/>
  <c r="E53" i="117"/>
  <c r="G53" i="117" s="1"/>
  <c r="B41" i="117"/>
  <c r="C41" i="117"/>
  <c r="D41" i="117"/>
  <c r="E41" i="117"/>
  <c r="G41" i="117" s="1"/>
  <c r="B32" i="117"/>
  <c r="C32" i="117"/>
  <c r="D32" i="117"/>
  <c r="E32" i="117"/>
  <c r="G32" i="117" s="1"/>
  <c r="C15" i="117"/>
  <c r="D15" i="117"/>
  <c r="E15" i="117"/>
  <c r="G15" i="117" s="1"/>
  <c r="B58" i="123"/>
  <c r="C58" i="123"/>
  <c r="D58" i="123"/>
  <c r="E58" i="123"/>
  <c r="G58" i="123" s="1"/>
  <c r="B59" i="123"/>
  <c r="C59" i="123"/>
  <c r="D59" i="123"/>
  <c r="E59" i="123"/>
  <c r="B52" i="123"/>
  <c r="C52" i="123"/>
  <c r="D52" i="123"/>
  <c r="E52" i="123"/>
  <c r="G52" i="123" s="1"/>
  <c r="B53" i="123"/>
  <c r="C53" i="123"/>
  <c r="D53" i="123"/>
  <c r="E53" i="123"/>
  <c r="B41" i="123"/>
  <c r="C41" i="123"/>
  <c r="D41" i="123"/>
  <c r="E41" i="123"/>
  <c r="G41" i="123" s="1"/>
  <c r="B32" i="123"/>
  <c r="C32" i="123"/>
  <c r="D32" i="123"/>
  <c r="E32" i="123"/>
  <c r="G32" i="123" s="1"/>
  <c r="C15" i="123"/>
  <c r="D15" i="123"/>
  <c r="E15" i="123"/>
  <c r="G15" i="123" s="1"/>
  <c r="B58" i="137"/>
  <c r="C58" i="137"/>
  <c r="D58" i="137"/>
  <c r="E58" i="137"/>
  <c r="G58" i="137" s="1"/>
  <c r="B59" i="137"/>
  <c r="C59" i="137"/>
  <c r="D59" i="137"/>
  <c r="E59" i="137"/>
  <c r="B52" i="137"/>
  <c r="C52" i="137"/>
  <c r="D52" i="137"/>
  <c r="E52" i="137"/>
  <c r="G52" i="137" s="1"/>
  <c r="B53" i="137"/>
  <c r="C53" i="137"/>
  <c r="D53" i="137"/>
  <c r="E53" i="137"/>
  <c r="G53" i="137" s="1"/>
  <c r="B41" i="137"/>
  <c r="C41" i="137"/>
  <c r="D41" i="137"/>
  <c r="E41" i="137"/>
  <c r="G41" i="137" s="1"/>
  <c r="B32" i="137"/>
  <c r="C32" i="137"/>
  <c r="D32" i="137"/>
  <c r="E32" i="137"/>
  <c r="G32" i="137" s="1"/>
  <c r="C15" i="137"/>
  <c r="D15" i="137"/>
  <c r="E15" i="137"/>
  <c r="G15" i="137" s="1"/>
  <c r="B58" i="138"/>
  <c r="C58" i="138"/>
  <c r="D58" i="138"/>
  <c r="E58" i="138"/>
  <c r="G58" i="138" s="1"/>
  <c r="B59" i="138"/>
  <c r="C59" i="138"/>
  <c r="D59" i="138"/>
  <c r="E59" i="138"/>
  <c r="B52" i="138"/>
  <c r="C52" i="138"/>
  <c r="D52" i="138"/>
  <c r="E52" i="138"/>
  <c r="B53" i="138"/>
  <c r="C53" i="138"/>
  <c r="D53" i="138"/>
  <c r="E53" i="138"/>
  <c r="G53" i="138" s="1"/>
  <c r="B41" i="138"/>
  <c r="C41" i="138"/>
  <c r="D41" i="138"/>
  <c r="E41" i="138"/>
  <c r="G41" i="138" s="1"/>
  <c r="B32" i="138"/>
  <c r="C32" i="138"/>
  <c r="D32" i="138"/>
  <c r="E32" i="138"/>
  <c r="G32" i="138" s="1"/>
  <c r="C15" i="138"/>
  <c r="D15" i="138"/>
  <c r="E15" i="138"/>
  <c r="G15" i="138" s="1"/>
  <c r="B58" i="96"/>
  <c r="C58" i="96"/>
  <c r="D58" i="96"/>
  <c r="E58" i="96"/>
  <c r="G58" i="96" s="1"/>
  <c r="B59" i="96"/>
  <c r="C59" i="96"/>
  <c r="D59" i="96"/>
  <c r="E59" i="96"/>
  <c r="B52" i="96"/>
  <c r="C52" i="96"/>
  <c r="D52" i="96"/>
  <c r="E52" i="96"/>
  <c r="G52" i="96" s="1"/>
  <c r="B53" i="96"/>
  <c r="C53" i="96"/>
  <c r="D53" i="96"/>
  <c r="E53" i="96"/>
  <c r="G53" i="96" s="1"/>
  <c r="B41" i="96"/>
  <c r="C41" i="96"/>
  <c r="D41" i="96"/>
  <c r="E41" i="96"/>
  <c r="G41" i="96" s="1"/>
  <c r="B32" i="96"/>
  <c r="C32" i="96"/>
  <c r="D32" i="96"/>
  <c r="E32" i="96"/>
  <c r="G32" i="96" s="1"/>
  <c r="C15" i="96"/>
  <c r="D15" i="96"/>
  <c r="E15" i="96"/>
  <c r="G15" i="96" s="1"/>
  <c r="B58" i="136"/>
  <c r="C58" i="136"/>
  <c r="D58" i="136"/>
  <c r="E58" i="136"/>
  <c r="B59" i="136"/>
  <c r="C59" i="136"/>
  <c r="D59" i="136"/>
  <c r="E59" i="136"/>
  <c r="G59" i="136" s="1"/>
  <c r="B52" i="136"/>
  <c r="C52" i="136"/>
  <c r="D52" i="136"/>
  <c r="E52" i="136"/>
  <c r="B53" i="136"/>
  <c r="C53" i="136"/>
  <c r="D53" i="136"/>
  <c r="E53" i="136"/>
  <c r="G53" i="136" s="1"/>
  <c r="B41" i="136"/>
  <c r="C41" i="136"/>
  <c r="D41" i="136"/>
  <c r="E41" i="136"/>
  <c r="G41" i="136" s="1"/>
  <c r="B42" i="136"/>
  <c r="C42" i="136"/>
  <c r="D42" i="136"/>
  <c r="E42" i="136"/>
  <c r="G42" i="136" s="1"/>
  <c r="B32" i="136"/>
  <c r="C32" i="136"/>
  <c r="D32" i="136"/>
  <c r="E32" i="136"/>
  <c r="G32" i="136" s="1"/>
  <c r="C15" i="136"/>
  <c r="D15" i="136"/>
  <c r="E15" i="136"/>
  <c r="G15" i="136" s="1"/>
  <c r="B58" i="99"/>
  <c r="C58" i="99"/>
  <c r="D58" i="99"/>
  <c r="E58" i="99"/>
  <c r="B59" i="99"/>
  <c r="C59" i="99"/>
  <c r="D59" i="99"/>
  <c r="E59" i="99"/>
  <c r="G59" i="99" s="1"/>
  <c r="B52" i="99"/>
  <c r="C52" i="99"/>
  <c r="D52" i="99"/>
  <c r="E52" i="99"/>
  <c r="G52" i="99" s="1"/>
  <c r="B53" i="99"/>
  <c r="C53" i="99"/>
  <c r="D53" i="99"/>
  <c r="E53" i="99"/>
  <c r="G53" i="99" s="1"/>
  <c r="B41" i="99"/>
  <c r="C41" i="99"/>
  <c r="D41" i="99"/>
  <c r="E41" i="99"/>
  <c r="G41" i="99" s="1"/>
  <c r="B32" i="99"/>
  <c r="C32" i="99"/>
  <c r="D32" i="99"/>
  <c r="E32" i="99"/>
  <c r="G32" i="99" s="1"/>
  <c r="C15" i="99"/>
  <c r="D15" i="99"/>
  <c r="E15" i="99"/>
  <c r="G15" i="99" s="1"/>
  <c r="B58" i="91"/>
  <c r="C58" i="91"/>
  <c r="D58" i="91"/>
  <c r="E58" i="91"/>
  <c r="B59" i="91"/>
  <c r="C59" i="91"/>
  <c r="D59" i="91"/>
  <c r="E59" i="91"/>
  <c r="G59" i="91" s="1"/>
  <c r="B52" i="91"/>
  <c r="C52" i="91"/>
  <c r="D52" i="91"/>
  <c r="E52" i="91"/>
  <c r="B53" i="91"/>
  <c r="C53" i="91"/>
  <c r="D53" i="91"/>
  <c r="E53" i="91"/>
  <c r="G53" i="91" s="1"/>
  <c r="B41" i="91"/>
  <c r="C41" i="91"/>
  <c r="D41" i="91"/>
  <c r="E41" i="91"/>
  <c r="G41" i="91" s="1"/>
  <c r="B32" i="91"/>
  <c r="C32" i="91"/>
  <c r="D32" i="91"/>
  <c r="E32" i="91"/>
  <c r="G32" i="91" s="1"/>
  <c r="C15" i="91"/>
  <c r="D15" i="91"/>
  <c r="E15" i="91"/>
  <c r="G15" i="91" s="1"/>
  <c r="B58" i="124"/>
  <c r="C58" i="124"/>
  <c r="D58" i="124"/>
  <c r="E58" i="124"/>
  <c r="B59" i="124"/>
  <c r="C59" i="124"/>
  <c r="D59" i="124"/>
  <c r="E59" i="124"/>
  <c r="G59" i="124" s="1"/>
  <c r="B52" i="124"/>
  <c r="C52" i="124"/>
  <c r="D52" i="124"/>
  <c r="E52" i="124"/>
  <c r="G52" i="124" s="1"/>
  <c r="B53" i="124"/>
  <c r="C53" i="124"/>
  <c r="D53" i="124"/>
  <c r="E53" i="124"/>
  <c r="G53" i="124" s="1"/>
  <c r="B41" i="124"/>
  <c r="C41" i="124"/>
  <c r="D41" i="124"/>
  <c r="E41" i="124"/>
  <c r="G41" i="124" s="1"/>
  <c r="B32" i="124"/>
  <c r="C32" i="124"/>
  <c r="D32" i="124"/>
  <c r="E32" i="124"/>
  <c r="G32" i="124" s="1"/>
  <c r="C15" i="124"/>
  <c r="D15" i="124"/>
  <c r="E15" i="124"/>
  <c r="G15" i="124" s="1"/>
  <c r="B58" i="95"/>
  <c r="C58" i="95"/>
  <c r="D58" i="95"/>
  <c r="E58" i="95"/>
  <c r="G58" i="95" s="1"/>
  <c r="B59" i="95"/>
  <c r="C59" i="95"/>
  <c r="D59" i="95"/>
  <c r="E59" i="95"/>
  <c r="B52" i="95"/>
  <c r="C52" i="95"/>
  <c r="D52" i="95"/>
  <c r="E52" i="95"/>
  <c r="G52" i="95" s="1"/>
  <c r="B53" i="95"/>
  <c r="C53" i="95"/>
  <c r="D53" i="95"/>
  <c r="E53" i="95"/>
  <c r="G53" i="95" s="1"/>
  <c r="B41" i="95"/>
  <c r="C41" i="95"/>
  <c r="D41" i="95"/>
  <c r="E41" i="95"/>
  <c r="G41" i="95" s="1"/>
  <c r="B32" i="95"/>
  <c r="C32" i="95"/>
  <c r="D32" i="95"/>
  <c r="E32" i="95"/>
  <c r="G32" i="95" s="1"/>
  <c r="C15" i="95"/>
  <c r="D15" i="95"/>
  <c r="E15" i="95"/>
  <c r="G15" i="95" s="1"/>
  <c r="B58" i="135"/>
  <c r="C58" i="135"/>
  <c r="D58" i="135"/>
  <c r="E58" i="135"/>
  <c r="G58" i="135" s="1"/>
  <c r="B59" i="135"/>
  <c r="C59" i="135"/>
  <c r="D59" i="135"/>
  <c r="E59" i="135"/>
  <c r="F59" i="135" s="1"/>
  <c r="B52" i="135"/>
  <c r="C52" i="135"/>
  <c r="D52" i="135"/>
  <c r="E52" i="135"/>
  <c r="B53" i="135"/>
  <c r="C53" i="135"/>
  <c r="D53" i="135"/>
  <c r="E53" i="135"/>
  <c r="G53" i="135" s="1"/>
  <c r="B41" i="135"/>
  <c r="C41" i="135"/>
  <c r="D41" i="135"/>
  <c r="E41" i="135"/>
  <c r="G41" i="135" s="1"/>
  <c r="B32" i="135"/>
  <c r="C32" i="135"/>
  <c r="D32" i="135"/>
  <c r="E32" i="135"/>
  <c r="G32" i="135" s="1"/>
  <c r="C15" i="135"/>
  <c r="D15" i="135"/>
  <c r="E15" i="135"/>
  <c r="G15" i="135" s="1"/>
  <c r="B58" i="116"/>
  <c r="C58" i="116"/>
  <c r="D58" i="116"/>
  <c r="E58" i="116"/>
  <c r="G58" i="116" s="1"/>
  <c r="B59" i="116"/>
  <c r="C59" i="116"/>
  <c r="D59" i="116"/>
  <c r="E59" i="116"/>
  <c r="G59" i="116" s="1"/>
  <c r="B52" i="116"/>
  <c r="C52" i="116"/>
  <c r="D52" i="116"/>
  <c r="E52" i="116"/>
  <c r="G52" i="116" s="1"/>
  <c r="B53" i="116"/>
  <c r="C53" i="116"/>
  <c r="D53" i="116"/>
  <c r="E53" i="116"/>
  <c r="B41" i="116"/>
  <c r="C41" i="116"/>
  <c r="D41" i="116"/>
  <c r="E41" i="116"/>
  <c r="G41" i="116" s="1"/>
  <c r="B32" i="116"/>
  <c r="C32" i="116"/>
  <c r="D32" i="116"/>
  <c r="E32" i="116"/>
  <c r="G32" i="116" s="1"/>
  <c r="E14" i="116"/>
  <c r="G14" i="116" s="1"/>
  <c r="D14" i="116"/>
  <c r="C14" i="116"/>
  <c r="E15" i="116"/>
  <c r="G15" i="116" s="1"/>
  <c r="D15" i="116"/>
  <c r="C15" i="116"/>
  <c r="B17" i="116"/>
  <c r="C17" i="116"/>
  <c r="D17" i="116"/>
  <c r="E17" i="116"/>
  <c r="G17" i="116" s="1"/>
  <c r="B18" i="116"/>
  <c r="C18" i="116"/>
  <c r="D18" i="116"/>
  <c r="E18" i="116"/>
  <c r="G18" i="116" s="1"/>
  <c r="B19" i="116"/>
  <c r="C19" i="116"/>
  <c r="D19" i="116"/>
  <c r="E19" i="116"/>
  <c r="G19" i="116" s="1"/>
  <c r="B59" i="134"/>
  <c r="C59" i="134"/>
  <c r="D59" i="134"/>
  <c r="E59" i="134"/>
  <c r="B57" i="134"/>
  <c r="C57" i="134"/>
  <c r="D57" i="134"/>
  <c r="E57" i="134"/>
  <c r="B58" i="134"/>
  <c r="C58" i="134"/>
  <c r="D58" i="134"/>
  <c r="E58" i="134"/>
  <c r="G58" i="134" s="1"/>
  <c r="B52" i="134"/>
  <c r="C52" i="134"/>
  <c r="D52" i="134"/>
  <c r="E52" i="134"/>
  <c r="G52" i="134" s="1"/>
  <c r="B53" i="134"/>
  <c r="C53" i="134"/>
  <c r="D53" i="134"/>
  <c r="E53" i="134"/>
  <c r="B41" i="134"/>
  <c r="C41" i="134"/>
  <c r="D41" i="134"/>
  <c r="E41" i="134"/>
  <c r="G41" i="134" s="1"/>
  <c r="B32" i="134"/>
  <c r="C32" i="134"/>
  <c r="D32" i="134"/>
  <c r="E32" i="134"/>
  <c r="G32" i="134" s="1"/>
  <c r="C15" i="134"/>
  <c r="D15" i="134"/>
  <c r="E15" i="134"/>
  <c r="G15" i="134" s="1"/>
  <c r="B17" i="134"/>
  <c r="C17" i="134"/>
  <c r="D17" i="134"/>
  <c r="E17" i="134"/>
  <c r="G17" i="134" s="1"/>
  <c r="B58" i="133"/>
  <c r="C58" i="133"/>
  <c r="D58" i="133"/>
  <c r="E58" i="133"/>
  <c r="F58" i="133" s="1"/>
  <c r="B59" i="133"/>
  <c r="C59" i="133"/>
  <c r="D59" i="133"/>
  <c r="E59" i="133"/>
  <c r="G59" i="133" s="1"/>
  <c r="B52" i="133"/>
  <c r="C52" i="133"/>
  <c r="D52" i="133"/>
  <c r="E52" i="133"/>
  <c r="F52" i="133" s="1"/>
  <c r="B53" i="133"/>
  <c r="C53" i="133"/>
  <c r="D53" i="133"/>
  <c r="E53" i="133"/>
  <c r="G53" i="133" s="1"/>
  <c r="B41" i="133"/>
  <c r="C41" i="133"/>
  <c r="D41" i="133"/>
  <c r="E41" i="133"/>
  <c r="G41" i="133" s="1"/>
  <c r="B32" i="133"/>
  <c r="C32" i="133"/>
  <c r="D32" i="133"/>
  <c r="E32" i="133"/>
  <c r="G32" i="133" s="1"/>
  <c r="C15" i="133"/>
  <c r="D15" i="133"/>
  <c r="E15" i="133"/>
  <c r="G15" i="133" s="1"/>
  <c r="B58" i="132"/>
  <c r="C58" i="132"/>
  <c r="D58" i="132"/>
  <c r="E58" i="132"/>
  <c r="G58" i="132" s="1"/>
  <c r="B59" i="132"/>
  <c r="C59" i="132"/>
  <c r="D59" i="132"/>
  <c r="E59" i="132"/>
  <c r="G59" i="132" s="1"/>
  <c r="B52" i="132"/>
  <c r="C52" i="132"/>
  <c r="D52" i="132"/>
  <c r="E52" i="132"/>
  <c r="G52" i="132" s="1"/>
  <c r="B53" i="132"/>
  <c r="C53" i="132"/>
  <c r="D53" i="132"/>
  <c r="E53" i="132"/>
  <c r="G53" i="132" s="1"/>
  <c r="B41" i="132"/>
  <c r="C41" i="132"/>
  <c r="D41" i="132"/>
  <c r="E41" i="132"/>
  <c r="B32" i="132"/>
  <c r="C32" i="132"/>
  <c r="D32" i="132"/>
  <c r="E32" i="132"/>
  <c r="B31" i="132"/>
  <c r="C31" i="132"/>
  <c r="D31" i="132"/>
  <c r="E31" i="132"/>
  <c r="G31" i="132" s="1"/>
  <c r="C15" i="132"/>
  <c r="D15" i="132"/>
  <c r="E15" i="132"/>
  <c r="B58" i="86"/>
  <c r="C58" i="86"/>
  <c r="D58" i="86"/>
  <c r="E58" i="86"/>
  <c r="G58" i="86" s="1"/>
  <c r="B59" i="86"/>
  <c r="C59" i="86"/>
  <c r="D59" i="86"/>
  <c r="E59" i="86"/>
  <c r="B53" i="86"/>
  <c r="C53" i="86"/>
  <c r="D53" i="86"/>
  <c r="E53" i="86"/>
  <c r="G53" i="86" s="1"/>
  <c r="B52" i="86"/>
  <c r="C52" i="86"/>
  <c r="D52" i="86"/>
  <c r="E52" i="86"/>
  <c r="G52" i="86" s="1"/>
  <c r="B41" i="86"/>
  <c r="C41" i="86"/>
  <c r="D41" i="86"/>
  <c r="E41" i="86"/>
  <c r="G41" i="86" s="1"/>
  <c r="B32" i="86"/>
  <c r="C32" i="86"/>
  <c r="D32" i="86"/>
  <c r="E32" i="86"/>
  <c r="G32" i="86" s="1"/>
  <c r="C15" i="86"/>
  <c r="D15" i="86"/>
  <c r="E15" i="86"/>
  <c r="G15" i="86" s="1"/>
  <c r="AP27" i="130"/>
  <c r="AO27" i="130"/>
  <c r="AN27" i="130"/>
  <c r="AL27" i="130"/>
  <c r="AK27" i="130"/>
  <c r="AJ27" i="130"/>
  <c r="AI27" i="130"/>
  <c r="AH27" i="130"/>
  <c r="AG27" i="130"/>
  <c r="AF27" i="130"/>
  <c r="AE27" i="130"/>
  <c r="AD27" i="130"/>
  <c r="AC27" i="130"/>
  <c r="AB27" i="130"/>
  <c r="AP26" i="130"/>
  <c r="AO26" i="130"/>
  <c r="AN26" i="130"/>
  <c r="AM26" i="130"/>
  <c r="AL26" i="130"/>
  <c r="AK26" i="130"/>
  <c r="AJ26" i="130"/>
  <c r="AI26" i="130"/>
  <c r="AH26" i="130"/>
  <c r="AG26" i="130"/>
  <c r="AF26" i="130"/>
  <c r="AE26" i="130"/>
  <c r="AD26" i="130"/>
  <c r="AC26" i="130"/>
  <c r="AB26" i="130"/>
  <c r="AP25" i="130"/>
  <c r="AO25" i="130"/>
  <c r="AN25" i="130"/>
  <c r="AM25" i="130"/>
  <c r="AL25" i="130"/>
  <c r="AK25" i="130"/>
  <c r="AJ25" i="130"/>
  <c r="AI25" i="130"/>
  <c r="AH25" i="130"/>
  <c r="AG25" i="130"/>
  <c r="AF25" i="130"/>
  <c r="AE25" i="130"/>
  <c r="AD25" i="130"/>
  <c r="AC25" i="130"/>
  <c r="AB25" i="130"/>
  <c r="AP24" i="130"/>
  <c r="AO24" i="130"/>
  <c r="AM24" i="130"/>
  <c r="AL24" i="130"/>
  <c r="AK24" i="130"/>
  <c r="AJ24" i="130"/>
  <c r="AI24" i="130"/>
  <c r="AH24" i="130"/>
  <c r="AG24" i="130"/>
  <c r="AF24" i="130"/>
  <c r="AE24" i="130"/>
  <c r="AC24" i="130"/>
  <c r="AB24" i="130"/>
  <c r="AP23" i="130"/>
  <c r="AO23" i="130"/>
  <c r="AN23" i="130"/>
  <c r="AM23" i="130"/>
  <c r="AL23" i="130"/>
  <c r="AK23" i="130"/>
  <c r="AJ23" i="130"/>
  <c r="AI23" i="130"/>
  <c r="AH23" i="130"/>
  <c r="AG23" i="130"/>
  <c r="AF23" i="130"/>
  <c r="AE23" i="130"/>
  <c r="AD23" i="130"/>
  <c r="AC23" i="130"/>
  <c r="AB23" i="130"/>
  <c r="AP22" i="130"/>
  <c r="AO22" i="130"/>
  <c r="AN22" i="130"/>
  <c r="AM22" i="130"/>
  <c r="AL22" i="130"/>
  <c r="AK22" i="130"/>
  <c r="AJ22" i="130"/>
  <c r="AI22" i="130"/>
  <c r="AH22" i="130"/>
  <c r="AG22" i="130"/>
  <c r="AF22" i="130"/>
  <c r="AE22" i="130"/>
  <c r="AD22" i="130"/>
  <c r="AC22" i="130"/>
  <c r="AB22" i="130"/>
  <c r="AP21" i="130"/>
  <c r="AO21" i="130"/>
  <c r="AN21" i="130"/>
  <c r="AM21" i="130"/>
  <c r="AL21" i="130"/>
  <c r="AK21" i="130"/>
  <c r="AJ21" i="130"/>
  <c r="AI21" i="130"/>
  <c r="AH21" i="130"/>
  <c r="AG21" i="130"/>
  <c r="AF21" i="130"/>
  <c r="AE21" i="130"/>
  <c r="AD21" i="130"/>
  <c r="AC21" i="130"/>
  <c r="AB21" i="130"/>
  <c r="AP20" i="130"/>
  <c r="AO20" i="130"/>
  <c r="AN20" i="130"/>
  <c r="AM20" i="130"/>
  <c r="AL20" i="130"/>
  <c r="AK20" i="130"/>
  <c r="AJ20" i="130"/>
  <c r="AI20" i="130"/>
  <c r="AH20" i="130"/>
  <c r="AG20" i="130"/>
  <c r="AF20" i="130"/>
  <c r="AE20" i="130"/>
  <c r="AD20" i="130"/>
  <c r="AC20" i="130"/>
  <c r="AB20" i="130"/>
  <c r="AP19" i="130"/>
  <c r="AO19" i="130"/>
  <c r="AM19" i="130"/>
  <c r="AL19" i="130"/>
  <c r="AK19" i="130"/>
  <c r="AJ19" i="130"/>
  <c r="AH19" i="130"/>
  <c r="AG19" i="130"/>
  <c r="AF19" i="130"/>
  <c r="AE19" i="130"/>
  <c r="AC19" i="130"/>
  <c r="AB19" i="130"/>
  <c r="AP18" i="130"/>
  <c r="AO18" i="130"/>
  <c r="AN18" i="130"/>
  <c r="AM18" i="130"/>
  <c r="AL18" i="130"/>
  <c r="AK18" i="130"/>
  <c r="AJ18" i="130"/>
  <c r="AI18" i="130"/>
  <c r="AH18" i="130"/>
  <c r="AG18" i="130"/>
  <c r="AE18" i="130"/>
  <c r="AD18" i="130"/>
  <c r="AC18" i="130"/>
  <c r="AB18" i="130"/>
  <c r="AP17" i="130"/>
  <c r="AO17" i="130"/>
  <c r="AN17" i="130"/>
  <c r="AM17" i="130"/>
  <c r="AL17" i="130"/>
  <c r="AK17" i="130"/>
  <c r="AJ17" i="130"/>
  <c r="AI17" i="130"/>
  <c r="AH17" i="130"/>
  <c r="AG17" i="130"/>
  <c r="AF17" i="130"/>
  <c r="AE17" i="130"/>
  <c r="AD17" i="130"/>
  <c r="AC17" i="130"/>
  <c r="AB17" i="130"/>
  <c r="AP16" i="130"/>
  <c r="AN16" i="130"/>
  <c r="AM16" i="130"/>
  <c r="AL16" i="130"/>
  <c r="AK16" i="130"/>
  <c r="AH16" i="130"/>
  <c r="AG16" i="130"/>
  <c r="AF16" i="130"/>
  <c r="AE16" i="130"/>
  <c r="AD16" i="130"/>
  <c r="AC16" i="130"/>
  <c r="AB16" i="130"/>
  <c r="AP15" i="130"/>
  <c r="AO15" i="130"/>
  <c r="AN15" i="130"/>
  <c r="AM15" i="130"/>
  <c r="AL15" i="130"/>
  <c r="AK15" i="130"/>
  <c r="AJ15" i="130"/>
  <c r="AI15" i="130"/>
  <c r="AH15" i="130"/>
  <c r="AG15" i="130"/>
  <c r="AF15" i="130"/>
  <c r="AE15" i="130"/>
  <c r="AD15" i="130"/>
  <c r="AB15" i="130"/>
  <c r="AP14" i="130"/>
  <c r="AN14" i="130"/>
  <c r="AM14" i="130"/>
  <c r="AL14" i="130"/>
  <c r="AK14" i="130"/>
  <c r="AJ14" i="130"/>
  <c r="AH14" i="130"/>
  <c r="AG14" i="130"/>
  <c r="AF14" i="130"/>
  <c r="AE14" i="130"/>
  <c r="AD14" i="130"/>
  <c r="AB14" i="130"/>
  <c r="AP13" i="130"/>
  <c r="AO13" i="130"/>
  <c r="AN13" i="130"/>
  <c r="AM13" i="130"/>
  <c r="AL13" i="130"/>
  <c r="AK13" i="130"/>
  <c r="AJ13" i="130"/>
  <c r="AI13" i="130"/>
  <c r="AH13" i="130"/>
  <c r="AG13" i="130"/>
  <c r="AF13" i="130"/>
  <c r="AD13" i="130"/>
  <c r="AC13" i="130"/>
  <c r="AB13" i="130"/>
  <c r="AP12" i="130"/>
  <c r="AO12" i="130"/>
  <c r="AM12" i="130"/>
  <c r="AL12" i="130"/>
  <c r="AK12" i="130"/>
  <c r="AJ12" i="130"/>
  <c r="AI12" i="130"/>
  <c r="AH12" i="130"/>
  <c r="AG12" i="130"/>
  <c r="AF12" i="130"/>
  <c r="AE12" i="130"/>
  <c r="AD12" i="130"/>
  <c r="AC12" i="130"/>
  <c r="AB12" i="130"/>
  <c r="AP11" i="130"/>
  <c r="AO11" i="130"/>
  <c r="AN11" i="130"/>
  <c r="AM11" i="130"/>
  <c r="AL11" i="130"/>
  <c r="AK11" i="130"/>
  <c r="AJ11" i="130"/>
  <c r="AI11" i="130"/>
  <c r="AH11" i="130"/>
  <c r="AG11" i="130"/>
  <c r="AF11" i="130"/>
  <c r="AD11" i="130"/>
  <c r="AC11" i="130"/>
  <c r="AP10" i="130"/>
  <c r="AN10" i="130"/>
  <c r="AM10" i="130"/>
  <c r="AL10" i="130"/>
  <c r="AK10" i="130"/>
  <c r="AJ10" i="130"/>
  <c r="AI10" i="130"/>
  <c r="AH10" i="130"/>
  <c r="AG10" i="130"/>
  <c r="AF10" i="130"/>
  <c r="AE10" i="130"/>
  <c r="AD10" i="130"/>
  <c r="AC10" i="130"/>
  <c r="AP9" i="130"/>
  <c r="AO9" i="130"/>
  <c r="AN9" i="130"/>
  <c r="AM9" i="130"/>
  <c r="AL9" i="130"/>
  <c r="AK9" i="130"/>
  <c r="AJ9" i="130"/>
  <c r="AI9" i="130"/>
  <c r="AG9" i="130"/>
  <c r="AF9" i="130"/>
  <c r="AB9" i="130"/>
  <c r="AP8" i="130"/>
  <c r="AO8" i="130"/>
  <c r="AN8" i="130"/>
  <c r="AM8" i="130"/>
  <c r="AL8" i="130"/>
  <c r="AK8" i="130"/>
  <c r="AJ8" i="130"/>
  <c r="AI8" i="130"/>
  <c r="AH8" i="130"/>
  <c r="AG8" i="130"/>
  <c r="AF8" i="130"/>
  <c r="AE8" i="130"/>
  <c r="AD8" i="130"/>
  <c r="AC8" i="130"/>
  <c r="AB8" i="130"/>
  <c r="AP7" i="130"/>
  <c r="AO7" i="130"/>
  <c r="AN7" i="130"/>
  <c r="AM7" i="130"/>
  <c r="AK7" i="130"/>
  <c r="AJ7" i="130"/>
  <c r="AI7" i="130"/>
  <c r="AF7" i="130"/>
  <c r="AE7" i="130"/>
  <c r="AD7" i="130"/>
  <c r="AC7" i="130"/>
  <c r="AP6" i="130"/>
  <c r="AO6" i="130"/>
  <c r="AN6" i="130"/>
  <c r="AM6" i="130"/>
  <c r="AK6" i="130"/>
  <c r="AJ6" i="130"/>
  <c r="AI6" i="130"/>
  <c r="AH6" i="130"/>
  <c r="AG6" i="130"/>
  <c r="AF6" i="130"/>
  <c r="AE6" i="130"/>
  <c r="AD6" i="130"/>
  <c r="AC6" i="130"/>
  <c r="AB6" i="130"/>
  <c r="AP5" i="130"/>
  <c r="AO5" i="130"/>
  <c r="AN5" i="130"/>
  <c r="AL5" i="130"/>
  <c r="AK5" i="130"/>
  <c r="AJ5" i="130"/>
  <c r="AI5" i="130"/>
  <c r="AH5" i="130"/>
  <c r="AF5" i="130"/>
  <c r="AE5" i="130"/>
  <c r="AD5" i="130"/>
  <c r="AC5" i="130"/>
  <c r="G35" i="94"/>
  <c r="P40" i="94"/>
  <c r="F59" i="86" l="1"/>
  <c r="F41" i="113"/>
  <c r="F41" i="132"/>
  <c r="F53" i="134"/>
  <c r="F59" i="134"/>
  <c r="F59" i="95"/>
  <c r="F58" i="99"/>
  <c r="F52" i="136"/>
  <c r="F58" i="136"/>
  <c r="F52" i="113"/>
  <c r="F58" i="119"/>
  <c r="F52" i="123"/>
  <c r="F59" i="116"/>
  <c r="F61" i="120"/>
  <c r="F59" i="120"/>
  <c r="F53" i="96"/>
  <c r="F59" i="119"/>
  <c r="F58" i="97"/>
  <c r="G58" i="136"/>
  <c r="F41" i="95"/>
  <c r="F59" i="123"/>
  <c r="F52" i="117"/>
  <c r="F58" i="117"/>
  <c r="F59" i="113"/>
  <c r="F52" i="118"/>
  <c r="F58" i="118"/>
  <c r="F59" i="98"/>
  <c r="F53" i="99"/>
  <c r="F59" i="99"/>
  <c r="F52" i="135"/>
  <c r="F58" i="132"/>
  <c r="F53" i="123"/>
  <c r="F41" i="98"/>
  <c r="F52" i="119"/>
  <c r="F52" i="91"/>
  <c r="F59" i="137"/>
  <c r="F59" i="118"/>
  <c r="F58" i="91"/>
  <c r="F52" i="138"/>
  <c r="G59" i="118"/>
  <c r="F58" i="116"/>
  <c r="G59" i="95"/>
  <c r="F42" i="136"/>
  <c r="F59" i="136"/>
  <c r="G52" i="136"/>
  <c r="F32" i="137"/>
  <c r="F41" i="123"/>
  <c r="F53" i="97"/>
  <c r="F59" i="97"/>
  <c r="G41" i="113"/>
  <c r="F53" i="86"/>
  <c r="F58" i="86"/>
  <c r="F41" i="96"/>
  <c r="F59" i="138"/>
  <c r="G53" i="123"/>
  <c r="F53" i="118"/>
  <c r="F42" i="119"/>
  <c r="F53" i="119"/>
  <c r="F53" i="116"/>
  <c r="F53" i="135"/>
  <c r="F59" i="91"/>
  <c r="G52" i="113"/>
  <c r="G59" i="86"/>
  <c r="F58" i="134"/>
  <c r="F58" i="95"/>
  <c r="G58" i="99"/>
  <c r="F59" i="117"/>
  <c r="G52" i="117"/>
  <c r="G53" i="116"/>
  <c r="G58" i="91"/>
  <c r="F59" i="96"/>
  <c r="G59" i="123"/>
  <c r="F52" i="98"/>
  <c r="F58" i="98"/>
  <c r="G59" i="98"/>
  <c r="G53" i="98"/>
  <c r="F59" i="140"/>
  <c r="G15" i="140"/>
  <c r="F59" i="139"/>
  <c r="G58" i="139"/>
  <c r="F52" i="139"/>
  <c r="F58" i="123"/>
  <c r="F58" i="113"/>
  <c r="F58" i="120"/>
  <c r="F58" i="140"/>
  <c r="F58" i="124"/>
  <c r="F52" i="97"/>
  <c r="F57" i="134"/>
  <c r="F41" i="137"/>
  <c r="F52" i="137"/>
  <c r="F58" i="137"/>
  <c r="G59" i="137"/>
  <c r="F53" i="137"/>
  <c r="F32" i="138"/>
  <c r="F53" i="138"/>
  <c r="F58" i="138"/>
  <c r="G59" i="138"/>
  <c r="G52" i="138"/>
  <c r="F32" i="98"/>
  <c r="G59" i="96"/>
  <c r="F58" i="96"/>
  <c r="G52" i="91"/>
  <c r="G58" i="124"/>
  <c r="F32" i="124"/>
  <c r="F53" i="124"/>
  <c r="F59" i="124"/>
  <c r="F52" i="95"/>
  <c r="G59" i="135"/>
  <c r="F58" i="135"/>
  <c r="G52" i="135"/>
  <c r="F52" i="116"/>
  <c r="G59" i="134"/>
  <c r="G53" i="134"/>
  <c r="G57" i="134"/>
  <c r="G52" i="133"/>
  <c r="F53" i="133"/>
  <c r="F59" i="133"/>
  <c r="G58" i="133"/>
  <c r="F52" i="132"/>
  <c r="F59" i="132"/>
  <c r="F52" i="86"/>
  <c r="AA9" i="130"/>
  <c r="AA17" i="130"/>
  <c r="AA22" i="130"/>
  <c r="AA8" i="130"/>
  <c r="Z18" i="130"/>
  <c r="Z12" i="130"/>
  <c r="AA20" i="130"/>
  <c r="AA25" i="130"/>
  <c r="F15" i="116"/>
  <c r="Y26" i="130"/>
  <c r="Y17" i="130"/>
  <c r="Y20" i="130"/>
  <c r="Y6" i="130"/>
  <c r="Y12" i="130"/>
  <c r="Y16" i="130"/>
  <c r="Y23" i="130"/>
  <c r="Y22" i="130"/>
  <c r="Y21" i="130"/>
  <c r="Y8" i="130"/>
  <c r="Y27" i="130"/>
  <c r="Y25" i="130"/>
  <c r="G41" i="132"/>
  <c r="F52" i="120"/>
  <c r="F60" i="120"/>
  <c r="F53" i="120"/>
  <c r="F41" i="120"/>
  <c r="F32" i="120"/>
  <c r="F15" i="120"/>
  <c r="F32" i="119"/>
  <c r="F41" i="119"/>
  <c r="F15" i="119"/>
  <c r="F41" i="118"/>
  <c r="F32" i="118"/>
  <c r="F15" i="118"/>
  <c r="F53" i="113"/>
  <c r="F32" i="113"/>
  <c r="F15" i="113"/>
  <c r="F16" i="113"/>
  <c r="F15" i="98"/>
  <c r="F53" i="140"/>
  <c r="F41" i="140"/>
  <c r="F52" i="140"/>
  <c r="F32" i="140"/>
  <c r="F16" i="140"/>
  <c r="F32" i="139"/>
  <c r="F53" i="139"/>
  <c r="F41" i="139"/>
  <c r="F15" i="139"/>
  <c r="F41" i="97"/>
  <c r="F32" i="97"/>
  <c r="F15" i="97"/>
  <c r="F32" i="117"/>
  <c r="F53" i="117"/>
  <c r="F41" i="117"/>
  <c r="F15" i="117"/>
  <c r="F32" i="123"/>
  <c r="F15" i="123"/>
  <c r="F15" i="137"/>
  <c r="F41" i="138"/>
  <c r="F15" i="138"/>
  <c r="F52" i="96"/>
  <c r="F32" i="96"/>
  <c r="F15" i="96"/>
  <c r="F15" i="136"/>
  <c r="F53" i="136"/>
  <c r="F41" i="136"/>
  <c r="F32" i="136"/>
  <c r="F41" i="99"/>
  <c r="F52" i="99"/>
  <c r="F32" i="99"/>
  <c r="F15" i="99"/>
  <c r="F15" i="91"/>
  <c r="F41" i="91"/>
  <c r="F53" i="91"/>
  <c r="F32" i="91"/>
  <c r="F52" i="124"/>
  <c r="F41" i="124"/>
  <c r="F15" i="124"/>
  <c r="F53" i="95"/>
  <c r="F15" i="95"/>
  <c r="F32" i="95"/>
  <c r="F41" i="135"/>
  <c r="F32" i="135"/>
  <c r="F15" i="135"/>
  <c r="F41" i="116"/>
  <c r="F32" i="116"/>
  <c r="F19" i="116"/>
  <c r="F17" i="116"/>
  <c r="F14" i="116"/>
  <c r="F18" i="116"/>
  <c r="F52" i="134"/>
  <c r="F41" i="134"/>
  <c r="F15" i="134"/>
  <c r="F32" i="134"/>
  <c r="F17" i="134"/>
  <c r="F15" i="133"/>
  <c r="F41" i="133"/>
  <c r="F32" i="133"/>
  <c r="F53" i="132"/>
  <c r="F31" i="132"/>
  <c r="F15" i="132"/>
  <c r="F32" i="132"/>
  <c r="G15" i="132"/>
  <c r="F41" i="86"/>
  <c r="F15" i="86"/>
  <c r="F32" i="86"/>
  <c r="AA21" i="130"/>
  <c r="AA26" i="130"/>
  <c r="AA11" i="130"/>
  <c r="AA23" i="130"/>
  <c r="AA15" i="130"/>
  <c r="AA13" i="130"/>
  <c r="AA18" i="130"/>
  <c r="Z26" i="130"/>
  <c r="Z11" i="130"/>
  <c r="Z13" i="130"/>
  <c r="Z15" i="130"/>
  <c r="Z22" i="130"/>
  <c r="Z23" i="130"/>
  <c r="Z24" i="130"/>
  <c r="Z8" i="130"/>
  <c r="Z6" i="130"/>
  <c r="Z20" i="130"/>
  <c r="Z27" i="130"/>
  <c r="Z21" i="130"/>
  <c r="Z10" i="130"/>
  <c r="Z17" i="130"/>
  <c r="Z25" i="130"/>
  <c r="B15" i="122"/>
  <c r="B28" i="122"/>
  <c r="B13" i="122"/>
  <c r="B14" i="122"/>
  <c r="B8" i="122"/>
  <c r="B21" i="122"/>
  <c r="B27" i="122"/>
  <c r="B11" i="122"/>
  <c r="B23" i="122"/>
  <c r="B22" i="122"/>
  <c r="B10" i="122"/>
  <c r="B26" i="122"/>
  <c r="B12" i="122"/>
  <c r="B18" i="122"/>
  <c r="B19" i="122"/>
  <c r="B24" i="122"/>
  <c r="B7" i="122"/>
  <c r="B9" i="122"/>
  <c r="B25" i="122"/>
  <c r="B20" i="122"/>
  <c r="B16" i="122"/>
  <c r="B5" i="122"/>
  <c r="B6" i="122"/>
  <c r="B17" i="122"/>
  <c r="B2" i="123" l="1"/>
  <c r="B4" i="123"/>
  <c r="W19" i="130"/>
  <c r="B2" i="120"/>
  <c r="B4" i="120"/>
  <c r="B4" i="86"/>
  <c r="W5" i="130"/>
  <c r="B2" i="86"/>
  <c r="B2" i="140"/>
  <c r="W23" i="130"/>
  <c r="B4" i="140"/>
  <c r="B2" i="98"/>
  <c r="W24" i="130"/>
  <c r="B4" i="98"/>
  <c r="B2" i="117"/>
  <c r="B4" i="117"/>
  <c r="W20" i="130"/>
  <c r="B2" i="116"/>
  <c r="W9" i="130"/>
  <c r="B4" i="116"/>
  <c r="B2" i="133"/>
  <c r="W7" i="130"/>
  <c r="B4" i="133"/>
  <c r="B2" i="138"/>
  <c r="B4" i="138"/>
  <c r="W17" i="130"/>
  <c r="B2" i="135"/>
  <c r="W10" i="130"/>
  <c r="B4" i="135"/>
  <c r="B2" i="134"/>
  <c r="W8" i="130"/>
  <c r="B4" i="134"/>
  <c r="B2" i="139"/>
  <c r="W22" i="130"/>
  <c r="B4" i="139"/>
  <c r="B2" i="137"/>
  <c r="B4" i="137"/>
  <c r="W18" i="130"/>
  <c r="B2" i="119"/>
  <c r="B4" i="119"/>
  <c r="W27" i="130"/>
  <c r="B2" i="124"/>
  <c r="B4" i="124"/>
  <c r="W12" i="130"/>
  <c r="B2" i="96"/>
  <c r="W16" i="130"/>
  <c r="B4" i="96"/>
  <c r="B2" i="118"/>
  <c r="W26" i="130"/>
  <c r="B4" i="118"/>
  <c r="B2" i="136"/>
  <c r="W15" i="130"/>
  <c r="B4" i="136"/>
  <c r="B2" i="99"/>
  <c r="W14" i="130"/>
  <c r="B4" i="99"/>
  <c r="B2" i="132"/>
  <c r="W6" i="130"/>
  <c r="B4" i="132"/>
  <c r="B2" i="91"/>
  <c r="B4" i="91"/>
  <c r="W13" i="130"/>
  <c r="B2" i="95"/>
  <c r="B4" i="95"/>
  <c r="W11" i="130"/>
  <c r="B2" i="97"/>
  <c r="W21" i="130"/>
  <c r="B4" i="97"/>
  <c r="B2" i="113"/>
  <c r="W25" i="130"/>
  <c r="B4" i="113"/>
  <c r="IN3" i="94"/>
  <c r="IM3" i="94"/>
  <c r="IL3" i="94"/>
  <c r="JA3" i="94"/>
  <c r="IG3" i="94"/>
  <c r="IZ3" i="94"/>
  <c r="IT3" i="94"/>
  <c r="IU3" i="94"/>
  <c r="IV3" i="94"/>
  <c r="IJ3" i="94"/>
  <c r="IK3" i="94"/>
  <c r="IY3" i="94"/>
  <c r="II3" i="94"/>
  <c r="IR3" i="94"/>
  <c r="IQ3" i="94"/>
  <c r="IS3" i="94"/>
  <c r="IX3" i="94"/>
  <c r="IH3" i="94"/>
  <c r="IF3" i="94"/>
  <c r="IW3" i="94"/>
  <c r="IE3" i="94"/>
  <c r="ID3" i="94"/>
  <c r="IO3" i="94"/>
  <c r="IP3" i="94"/>
  <c r="HP3" i="94"/>
  <c r="HO3" i="94"/>
  <c r="HN3" i="94"/>
  <c r="IC3" i="94"/>
  <c r="HI3" i="94"/>
  <c r="IB3" i="94"/>
  <c r="HV3" i="94"/>
  <c r="HW3" i="94"/>
  <c r="HX3" i="94"/>
  <c r="HL3" i="94"/>
  <c r="HM3" i="94"/>
  <c r="IA3" i="94"/>
  <c r="HK3" i="94"/>
  <c r="HT3" i="94"/>
  <c r="HS3" i="94"/>
  <c r="HU3" i="94"/>
  <c r="HZ3" i="94"/>
  <c r="HJ3" i="94"/>
  <c r="HH3" i="94"/>
  <c r="HY3" i="94"/>
  <c r="HG3" i="94"/>
  <c r="HF3" i="94"/>
  <c r="HQ3" i="94"/>
  <c r="HR3" i="94"/>
  <c r="GR3" i="94"/>
  <c r="GQ3" i="94"/>
  <c r="GP3" i="94"/>
  <c r="HE3" i="94"/>
  <c r="GK3" i="94"/>
  <c r="HD3" i="94"/>
  <c r="GX3" i="94"/>
  <c r="GY3" i="94"/>
  <c r="GZ3" i="94"/>
  <c r="GN3" i="94"/>
  <c r="GO3" i="94"/>
  <c r="HC3" i="94"/>
  <c r="GM3" i="94"/>
  <c r="GV3" i="94"/>
  <c r="GU3" i="94"/>
  <c r="GW3" i="94"/>
  <c r="HB3" i="94"/>
  <c r="GL3" i="94"/>
  <c r="GJ3" i="94"/>
  <c r="HA3" i="94"/>
  <c r="GI3" i="94"/>
  <c r="GH3" i="94"/>
  <c r="GS3" i="94"/>
  <c r="GT3" i="94"/>
  <c r="FT3" i="94"/>
  <c r="FS3" i="94"/>
  <c r="FR3" i="94"/>
  <c r="GG3" i="94"/>
  <c r="FM3" i="94"/>
  <c r="GF3" i="94"/>
  <c r="FZ3" i="94"/>
  <c r="GA3" i="94"/>
  <c r="GB3" i="94"/>
  <c r="FP3" i="94"/>
  <c r="FQ3" i="94"/>
  <c r="GE3" i="94"/>
  <c r="FO3" i="94"/>
  <c r="FX3" i="94"/>
  <c r="FW3" i="94"/>
  <c r="FY3" i="94"/>
  <c r="GD3" i="94"/>
  <c r="FN3" i="94"/>
  <c r="FL3" i="94"/>
  <c r="GC3" i="94"/>
  <c r="FK3" i="94"/>
  <c r="FJ3" i="94"/>
  <c r="FU3" i="94"/>
  <c r="FV3" i="94"/>
  <c r="EV3" i="94"/>
  <c r="EU3" i="94"/>
  <c r="ET3" i="94"/>
  <c r="FI3" i="94"/>
  <c r="EO3" i="94"/>
  <c r="FH3" i="94"/>
  <c r="FB3" i="94"/>
  <c r="FC3" i="94"/>
  <c r="FD3" i="94"/>
  <c r="ER3" i="94"/>
  <c r="ES3" i="94"/>
  <c r="FG3" i="94"/>
  <c r="EQ3" i="94"/>
  <c r="EZ3" i="94"/>
  <c r="EY3" i="94"/>
  <c r="FA3" i="94"/>
  <c r="FF3" i="94"/>
  <c r="EP3" i="94"/>
  <c r="EN3" i="94"/>
  <c r="FE3" i="94"/>
  <c r="EM3" i="94"/>
  <c r="EL3" i="94"/>
  <c r="EW3" i="94"/>
  <c r="EX3" i="94"/>
  <c r="DX3" i="94"/>
  <c r="DW3" i="94"/>
  <c r="DV3" i="94"/>
  <c r="EK3" i="94"/>
  <c r="DQ3" i="94"/>
  <c r="EJ3" i="94"/>
  <c r="ED3" i="94"/>
  <c r="EE3" i="94"/>
  <c r="EF3" i="94"/>
  <c r="DT3" i="94"/>
  <c r="DU3" i="94"/>
  <c r="EI3" i="94"/>
  <c r="DS3" i="94"/>
  <c r="EB3" i="94"/>
  <c r="EA3" i="94"/>
  <c r="EC3" i="94"/>
  <c r="EH3" i="94"/>
  <c r="DR3" i="94"/>
  <c r="DP3" i="94"/>
  <c r="EG3" i="94"/>
  <c r="DO3" i="94"/>
  <c r="DN3" i="94"/>
  <c r="DY3" i="94"/>
  <c r="DZ3" i="94"/>
  <c r="CZ3" i="94"/>
  <c r="CY3" i="94"/>
  <c r="CX3" i="94"/>
  <c r="DM3" i="94"/>
  <c r="CS3" i="94"/>
  <c r="DL3" i="94"/>
  <c r="DF3" i="94"/>
  <c r="DG3" i="94"/>
  <c r="DH3" i="94"/>
  <c r="CV3" i="94"/>
  <c r="CW3" i="94"/>
  <c r="DK3" i="94"/>
  <c r="CU3" i="94"/>
  <c r="DD3" i="94"/>
  <c r="DC3" i="94"/>
  <c r="DE3" i="94"/>
  <c r="DJ3" i="94"/>
  <c r="CT3" i="94"/>
  <c r="CR3" i="94"/>
  <c r="DI3" i="94"/>
  <c r="CQ3" i="94"/>
  <c r="CP3" i="94"/>
  <c r="DA3" i="94"/>
  <c r="DB3" i="94"/>
  <c r="CB3" i="94"/>
  <c r="CA3" i="94"/>
  <c r="BZ3" i="94"/>
  <c r="CO3" i="94"/>
  <c r="BU3" i="94"/>
  <c r="CN3" i="94"/>
  <c r="CH3" i="94"/>
  <c r="CI3" i="94"/>
  <c r="CJ3" i="94"/>
  <c r="BX3" i="94"/>
  <c r="BY3" i="94"/>
  <c r="CM3" i="94"/>
  <c r="BW3" i="94"/>
  <c r="CF3" i="94"/>
  <c r="CE3" i="94"/>
  <c r="CG3" i="94"/>
  <c r="CL3" i="94"/>
  <c r="BV3" i="94"/>
  <c r="BT3" i="94"/>
  <c r="CK3" i="94"/>
  <c r="BS3" i="94"/>
  <c r="BR3" i="94"/>
  <c r="CC3" i="94"/>
  <c r="CD3" i="94"/>
  <c r="BD3" i="94"/>
  <c r="BC3" i="94"/>
  <c r="BB3" i="94"/>
  <c r="BQ3" i="94"/>
  <c r="AW3" i="94"/>
  <c r="BP3" i="94"/>
  <c r="BJ3" i="94"/>
  <c r="BK3" i="94"/>
  <c r="BL3" i="94"/>
  <c r="AZ3" i="94"/>
  <c r="BA3" i="94"/>
  <c r="BO3" i="94"/>
  <c r="AY3" i="94"/>
  <c r="BH3" i="94"/>
  <c r="BG3" i="94"/>
  <c r="BI3" i="94"/>
  <c r="BN3" i="94"/>
  <c r="AX3" i="94"/>
  <c r="AV3" i="94"/>
  <c r="BM3" i="94"/>
  <c r="AU3" i="94"/>
  <c r="AT3" i="94"/>
  <c r="BE3" i="94"/>
  <c r="BF3" i="94"/>
  <c r="F19" i="143"/>
  <c r="F18" i="143"/>
  <c r="F16" i="143"/>
  <c r="F15" i="143"/>
  <c r="F14" i="143"/>
  <c r="F13" i="143"/>
  <c r="F12" i="143"/>
  <c r="F11" i="143"/>
  <c r="F10" i="143"/>
  <c r="F9" i="143"/>
  <c r="F22" i="143" s="1"/>
  <c r="F45" i="142" s="1"/>
  <c r="G45" i="142" s="1"/>
  <c r="F10" i="94" l="1"/>
  <c r="F28" i="94"/>
  <c r="F19" i="94"/>
  <c r="F20" i="143"/>
  <c r="F21" i="143" s="1"/>
  <c r="D15" i="141"/>
  <c r="X11" i="141"/>
  <c r="X10" i="141"/>
  <c r="X12" i="141" s="1"/>
  <c r="X9" i="141"/>
  <c r="V11" i="141"/>
  <c r="V10" i="141"/>
  <c r="V9" i="141"/>
  <c r="T11" i="141"/>
  <c r="T10" i="141"/>
  <c r="T9" i="141"/>
  <c r="G15" i="141"/>
  <c r="Q11" i="141"/>
  <c r="Q10" i="141"/>
  <c r="Q9" i="141"/>
  <c r="R13" i="141"/>
  <c r="AA12" i="141"/>
  <c r="L13" i="141"/>
  <c r="D9" i="141"/>
  <c r="E9" i="141"/>
  <c r="F9" i="141"/>
  <c r="G9" i="141"/>
  <c r="H9" i="141"/>
  <c r="I9" i="141"/>
  <c r="J9" i="141"/>
  <c r="K9" i="141"/>
  <c r="M9" i="141"/>
  <c r="N9" i="141"/>
  <c r="O9" i="141"/>
  <c r="L12" i="141"/>
  <c r="N12" i="141"/>
  <c r="O11" i="141"/>
  <c r="O13" i="141" s="1"/>
  <c r="O10" i="141"/>
  <c r="N11" i="141"/>
  <c r="N10" i="141"/>
  <c r="M11" i="141"/>
  <c r="M10" i="141"/>
  <c r="K11" i="141"/>
  <c r="K10" i="141"/>
  <c r="K12" i="141" s="1"/>
  <c r="J11" i="141"/>
  <c r="J10" i="141"/>
  <c r="I11" i="141"/>
  <c r="I10" i="141"/>
  <c r="H11" i="141"/>
  <c r="H10" i="141"/>
  <c r="G11" i="141"/>
  <c r="G10" i="141"/>
  <c r="F11" i="141"/>
  <c r="F10" i="141"/>
  <c r="F13" i="141" s="1"/>
  <c r="E11" i="141"/>
  <c r="E10" i="141"/>
  <c r="D11" i="141"/>
  <c r="D10" i="141"/>
  <c r="D13" i="141" s="1"/>
  <c r="F3" i="141"/>
  <c r="N13" i="141" l="1"/>
  <c r="K13" i="141"/>
  <c r="J12" i="141"/>
  <c r="D12" i="141"/>
  <c r="M13" i="141"/>
  <c r="J13" i="141"/>
  <c r="G13" i="141"/>
  <c r="H12" i="141"/>
  <c r="E13" i="141"/>
  <c r="I12" i="141"/>
  <c r="G12" i="141"/>
  <c r="F12" i="141"/>
  <c r="E12" i="141"/>
  <c r="I13" i="141"/>
  <c r="H13" i="141"/>
  <c r="X13" i="141"/>
  <c r="V12" i="141"/>
  <c r="T12" i="141"/>
  <c r="S13" i="141"/>
  <c r="W12" i="141"/>
  <c r="Y13" i="141"/>
  <c r="Z13" i="141"/>
  <c r="AA13" i="141"/>
  <c r="U13" i="141"/>
  <c r="U12" i="141"/>
  <c r="Q13" i="141"/>
  <c r="P13" i="141"/>
  <c r="P12" i="141"/>
  <c r="M12" i="141"/>
  <c r="O12" i="141"/>
  <c r="T13" i="141"/>
  <c r="Q12" i="141"/>
  <c r="Y12" i="141"/>
  <c r="R12" i="141"/>
  <c r="Z12" i="141"/>
  <c r="V13" i="141"/>
  <c r="S12" i="141"/>
  <c r="W13" i="141"/>
  <c r="F15" i="141" l="1"/>
  <c r="E15" i="141"/>
  <c r="H24" i="94" l="1"/>
  <c r="H25" i="94"/>
  <c r="AK23" i="94"/>
  <c r="AK24" i="94"/>
  <c r="AK25" i="94"/>
  <c r="AK26" i="94"/>
  <c r="AK27" i="94"/>
  <c r="AI23" i="94"/>
  <c r="AI24" i="94"/>
  <c r="AI25" i="94"/>
  <c r="H26" i="94"/>
  <c r="AI27" i="94"/>
  <c r="AN23" i="94"/>
  <c r="AN24" i="94"/>
  <c r="AN25" i="94"/>
  <c r="AN26" i="94"/>
  <c r="AN27" i="94"/>
  <c r="AM23" i="94"/>
  <c r="AM24" i="94"/>
  <c r="AM25" i="94"/>
  <c r="AM26" i="94"/>
  <c r="AM27" i="94"/>
  <c r="H23" i="94"/>
  <c r="EC23" i="94"/>
  <c r="EA23" i="94"/>
  <c r="EB23" i="94"/>
  <c r="EF23" i="94"/>
  <c r="EE23" i="94"/>
  <c r="ED23" i="94"/>
  <c r="EJ23" i="94"/>
  <c r="EC24" i="94"/>
  <c r="EA24" i="94"/>
  <c r="EB24" i="94"/>
  <c r="EF24" i="94"/>
  <c r="EE24" i="94"/>
  <c r="ED24" i="94"/>
  <c r="EJ24" i="94"/>
  <c r="EC25" i="94"/>
  <c r="EA25" i="94"/>
  <c r="EB25" i="94"/>
  <c r="EF25" i="94"/>
  <c r="EE25" i="94"/>
  <c r="ED25" i="94"/>
  <c r="EJ25" i="94"/>
  <c r="EC26" i="94"/>
  <c r="EF26" i="94"/>
  <c r="EE26" i="94"/>
  <c r="ED26" i="94"/>
  <c r="EJ26" i="94"/>
  <c r="EC27" i="94"/>
  <c r="EA27" i="94"/>
  <c r="EF27" i="94"/>
  <c r="EE27" i="94"/>
  <c r="ED27" i="94"/>
  <c r="EJ27" i="94"/>
  <c r="H27" i="94"/>
  <c r="H5" i="94"/>
  <c r="AK5" i="94"/>
  <c r="AK6" i="94"/>
  <c r="AK7" i="94"/>
  <c r="AK9" i="94"/>
  <c r="AI5" i="94"/>
  <c r="AI7" i="94"/>
  <c r="AI8" i="94"/>
  <c r="AI9" i="94"/>
  <c r="AN5" i="94"/>
  <c r="AN6" i="94"/>
  <c r="AN7" i="94"/>
  <c r="AN8" i="94"/>
  <c r="AN9" i="94"/>
  <c r="AM5" i="94"/>
  <c r="AM6" i="94"/>
  <c r="AM7" i="94"/>
  <c r="AM8" i="94"/>
  <c r="AM9" i="94"/>
  <c r="H14" i="94"/>
  <c r="AK14" i="94"/>
  <c r="AK15" i="94"/>
  <c r="AK16" i="94"/>
  <c r="AK17" i="94"/>
  <c r="AK18" i="94"/>
  <c r="AI14" i="94"/>
  <c r="AI15" i="94"/>
  <c r="H16" i="94"/>
  <c r="AI17" i="94"/>
  <c r="AI18" i="94"/>
  <c r="H17" i="94"/>
  <c r="D21" i="145" s="1"/>
  <c r="AN14" i="94"/>
  <c r="AN15" i="94"/>
  <c r="AN16" i="94"/>
  <c r="AN17" i="94"/>
  <c r="AN18" i="94"/>
  <c r="AM14" i="94"/>
  <c r="AM15" i="94"/>
  <c r="AM16" i="94"/>
  <c r="AM17" i="94"/>
  <c r="AM18" i="94"/>
  <c r="P41" i="94"/>
  <c r="P42" i="94"/>
  <c r="P43" i="94"/>
  <c r="P44" i="94"/>
  <c r="P45" i="94"/>
  <c r="P46" i="94"/>
  <c r="P47" i="94"/>
  <c r="P48" i="94"/>
  <c r="P49" i="94"/>
  <c r="P50" i="94"/>
  <c r="P51" i="94"/>
  <c r="P52" i="94"/>
  <c r="P53" i="94"/>
  <c r="P54" i="94"/>
  <c r="P55" i="94"/>
  <c r="P56" i="94"/>
  <c r="P57" i="94"/>
  <c r="P58" i="94"/>
  <c r="FY23" i="94"/>
  <c r="FW23" i="94"/>
  <c r="FX23" i="94"/>
  <c r="GB23" i="94"/>
  <c r="GA23" i="94"/>
  <c r="FZ23" i="94"/>
  <c r="GF23" i="94"/>
  <c r="FY24" i="94"/>
  <c r="FW24" i="94"/>
  <c r="FX24" i="94"/>
  <c r="GB24" i="94"/>
  <c r="GA24" i="94"/>
  <c r="FZ24" i="94"/>
  <c r="GF24" i="94"/>
  <c r="FY25" i="94"/>
  <c r="FW25" i="94"/>
  <c r="FX25" i="94"/>
  <c r="GB25" i="94"/>
  <c r="GA25" i="94"/>
  <c r="FZ25" i="94"/>
  <c r="GF25" i="94"/>
  <c r="FY26" i="94"/>
  <c r="GB26" i="94"/>
  <c r="GA26" i="94"/>
  <c r="FZ26" i="94"/>
  <c r="GF26" i="94"/>
  <c r="FY27" i="94"/>
  <c r="FW27" i="94"/>
  <c r="GB27" i="94"/>
  <c r="GA27" i="94"/>
  <c r="FZ27" i="94"/>
  <c r="GF27" i="94"/>
  <c r="E19" i="94"/>
  <c r="E28" i="94"/>
  <c r="FA23" i="94"/>
  <c r="EY23" i="94"/>
  <c r="EZ23" i="94"/>
  <c r="FD23" i="94"/>
  <c r="FC23" i="94"/>
  <c r="FB23" i="94"/>
  <c r="FH23" i="94"/>
  <c r="FA24" i="94"/>
  <c r="EY24" i="94"/>
  <c r="EZ24" i="94"/>
  <c r="FD24" i="94"/>
  <c r="FC24" i="94"/>
  <c r="FB24" i="94"/>
  <c r="FH24" i="94"/>
  <c r="FA25" i="94"/>
  <c r="EY25" i="94"/>
  <c r="EZ25" i="94"/>
  <c r="FD25" i="94"/>
  <c r="FC25" i="94"/>
  <c r="FB25" i="94"/>
  <c r="FH25" i="94"/>
  <c r="FA26" i="94"/>
  <c r="FD26" i="94"/>
  <c r="FC26" i="94"/>
  <c r="FB26" i="94"/>
  <c r="FH26" i="94"/>
  <c r="FA27" i="94"/>
  <c r="EY27" i="94"/>
  <c r="FD27" i="94"/>
  <c r="FC27" i="94"/>
  <c r="FB27" i="94"/>
  <c r="FH27" i="94"/>
  <c r="IS23" i="94"/>
  <c r="IQ23" i="94"/>
  <c r="IR23" i="94"/>
  <c r="IV23" i="94"/>
  <c r="IU23" i="94"/>
  <c r="IT23" i="94"/>
  <c r="IZ23" i="94"/>
  <c r="IS24" i="94"/>
  <c r="IQ24" i="94"/>
  <c r="IR24" i="94"/>
  <c r="IV24" i="94"/>
  <c r="IU24" i="94"/>
  <c r="IT24" i="94"/>
  <c r="IZ24" i="94"/>
  <c r="IS25" i="94"/>
  <c r="IQ25" i="94"/>
  <c r="IR25" i="94"/>
  <c r="IV25" i="94"/>
  <c r="IU25" i="94"/>
  <c r="IT25" i="94"/>
  <c r="IZ25" i="94"/>
  <c r="IS26" i="94"/>
  <c r="IR26" i="94"/>
  <c r="IV26" i="94"/>
  <c r="IU26" i="94"/>
  <c r="IT26" i="94"/>
  <c r="IZ26" i="94"/>
  <c r="IS27" i="94"/>
  <c r="IQ27" i="94"/>
  <c r="IV27" i="94"/>
  <c r="IU27" i="94"/>
  <c r="IT27" i="94"/>
  <c r="IZ27" i="94"/>
  <c r="HU23" i="94"/>
  <c r="HS23" i="94"/>
  <c r="HT23" i="94"/>
  <c r="HX23" i="94"/>
  <c r="HW23" i="94"/>
  <c r="HV23" i="94"/>
  <c r="IB23" i="94"/>
  <c r="HU24" i="94"/>
  <c r="HS24" i="94"/>
  <c r="HT24" i="94"/>
  <c r="HX24" i="94"/>
  <c r="HW24" i="94"/>
  <c r="HV24" i="94"/>
  <c r="IB24" i="94"/>
  <c r="HU25" i="94"/>
  <c r="HS25" i="94"/>
  <c r="HT25" i="94"/>
  <c r="HX25" i="94"/>
  <c r="HW25" i="94"/>
  <c r="HV25" i="94"/>
  <c r="IB25" i="94"/>
  <c r="HU26" i="94"/>
  <c r="HT26" i="94"/>
  <c r="HX26" i="94"/>
  <c r="HW26" i="94"/>
  <c r="HV26" i="94"/>
  <c r="IB26" i="94"/>
  <c r="HU27" i="94"/>
  <c r="HS27" i="94"/>
  <c r="HX27" i="94"/>
  <c r="HW27" i="94"/>
  <c r="HV27" i="94"/>
  <c r="IB27" i="94"/>
  <c r="DE23" i="94"/>
  <c r="DC23" i="94"/>
  <c r="DD23" i="94"/>
  <c r="DH23" i="94"/>
  <c r="DG23" i="94"/>
  <c r="DF23" i="94"/>
  <c r="DL23" i="94"/>
  <c r="DE24" i="94"/>
  <c r="DC24" i="94"/>
  <c r="DD24" i="94"/>
  <c r="DH24" i="94"/>
  <c r="DG24" i="94"/>
  <c r="DF24" i="94"/>
  <c r="DL24" i="94"/>
  <c r="DE25" i="94"/>
  <c r="DC25" i="94"/>
  <c r="DD25" i="94"/>
  <c r="DH25" i="94"/>
  <c r="DG25" i="94"/>
  <c r="DF25" i="94"/>
  <c r="DL25" i="94"/>
  <c r="DE26" i="94"/>
  <c r="DC26" i="94"/>
  <c r="DD26" i="94"/>
  <c r="DH26" i="94"/>
  <c r="DG26" i="94"/>
  <c r="DF26" i="94"/>
  <c r="DL26" i="94"/>
  <c r="DE27" i="94"/>
  <c r="DC27" i="94"/>
  <c r="DD27" i="94"/>
  <c r="DH27" i="94"/>
  <c r="DG27" i="94"/>
  <c r="DF27" i="94"/>
  <c r="DL27" i="94"/>
  <c r="CG23" i="94"/>
  <c r="CE23" i="94"/>
  <c r="CF23" i="94"/>
  <c r="CJ23" i="94"/>
  <c r="CI23" i="94"/>
  <c r="CH23" i="94"/>
  <c r="CN23" i="94"/>
  <c r="CG24" i="94"/>
  <c r="CE24" i="94"/>
  <c r="CF24" i="94"/>
  <c r="CJ24" i="94"/>
  <c r="CI24" i="94"/>
  <c r="CH24" i="94"/>
  <c r="CN24" i="94"/>
  <c r="CG25" i="94"/>
  <c r="CE25" i="94"/>
  <c r="CF25" i="94"/>
  <c r="CJ25" i="94"/>
  <c r="CI25" i="94"/>
  <c r="CH25" i="94"/>
  <c r="CN25" i="94"/>
  <c r="CG26" i="94"/>
  <c r="CJ26" i="94"/>
  <c r="CI26" i="94"/>
  <c r="CH26" i="94"/>
  <c r="CN26" i="94"/>
  <c r="CG27" i="94"/>
  <c r="CE27" i="94"/>
  <c r="CJ27" i="94"/>
  <c r="CI27" i="94"/>
  <c r="CH27" i="94"/>
  <c r="CN27" i="94"/>
  <c r="EC14" i="94"/>
  <c r="EA14" i="94"/>
  <c r="EB14" i="94"/>
  <c r="EF14" i="94"/>
  <c r="EE14" i="94"/>
  <c r="ED14" i="94"/>
  <c r="EJ14" i="94"/>
  <c r="H15" i="94"/>
  <c r="EC15" i="94"/>
  <c r="EA15" i="94"/>
  <c r="EB15" i="94"/>
  <c r="EF15" i="94"/>
  <c r="EE15" i="94"/>
  <c r="ED15" i="94"/>
  <c r="EJ15" i="94"/>
  <c r="EC16" i="94"/>
  <c r="EF16" i="94"/>
  <c r="EE16" i="94"/>
  <c r="ED16" i="94"/>
  <c r="EJ16" i="94"/>
  <c r="EC17" i="94"/>
  <c r="EA17" i="94"/>
  <c r="EB17" i="94"/>
  <c r="EF17" i="94"/>
  <c r="EC18" i="94"/>
  <c r="EA18" i="94"/>
  <c r="EB18" i="94"/>
  <c r="EF18" i="94"/>
  <c r="EE18" i="94"/>
  <c r="ED18" i="94"/>
  <c r="EJ18" i="94"/>
  <c r="FY14" i="94"/>
  <c r="FW14" i="94"/>
  <c r="FX14" i="94"/>
  <c r="GB14" i="94"/>
  <c r="GA14" i="94"/>
  <c r="FZ14" i="94"/>
  <c r="GF14" i="94"/>
  <c r="FY15" i="94"/>
  <c r="FW15" i="94"/>
  <c r="FX15" i="94"/>
  <c r="GB15" i="94"/>
  <c r="GA15" i="94"/>
  <c r="FZ15" i="94"/>
  <c r="GF15" i="94"/>
  <c r="FY16" i="94"/>
  <c r="GB16" i="94"/>
  <c r="GA16" i="94"/>
  <c r="FZ16" i="94"/>
  <c r="GF16" i="94"/>
  <c r="FY17" i="94"/>
  <c r="FW17" i="94"/>
  <c r="FX17" i="94"/>
  <c r="GB17" i="94"/>
  <c r="FZ17" i="94"/>
  <c r="FY18" i="94"/>
  <c r="FW18" i="94"/>
  <c r="FX18" i="94"/>
  <c r="GB18" i="94"/>
  <c r="GA18" i="94"/>
  <c r="FZ18" i="94"/>
  <c r="GF18" i="94"/>
  <c r="FA14" i="94"/>
  <c r="EY14" i="94"/>
  <c r="EZ14" i="94"/>
  <c r="FD14" i="94"/>
  <c r="FC14" i="94"/>
  <c r="FB14" i="94"/>
  <c r="FH14" i="94"/>
  <c r="FA15" i="94"/>
  <c r="EY15" i="94"/>
  <c r="EZ15" i="94"/>
  <c r="FD15" i="94"/>
  <c r="FC15" i="94"/>
  <c r="FB15" i="94"/>
  <c r="FH15" i="94"/>
  <c r="FA16" i="94"/>
  <c r="FD16" i="94"/>
  <c r="FC16" i="94"/>
  <c r="FB16" i="94"/>
  <c r="FH16" i="94"/>
  <c r="FA17" i="94"/>
  <c r="EY17" i="94"/>
  <c r="EZ17" i="94"/>
  <c r="FD17" i="94"/>
  <c r="FC17" i="94"/>
  <c r="FB17" i="94"/>
  <c r="FA18" i="94"/>
  <c r="EY18" i="94"/>
  <c r="EZ18" i="94"/>
  <c r="FD18" i="94"/>
  <c r="FC18" i="94"/>
  <c r="FB18" i="94"/>
  <c r="FH18" i="94"/>
  <c r="IS14" i="94"/>
  <c r="IQ14" i="94"/>
  <c r="IR14" i="94"/>
  <c r="IV14" i="94"/>
  <c r="IU14" i="94"/>
  <c r="IT14" i="94"/>
  <c r="IZ14" i="94"/>
  <c r="IS15" i="94"/>
  <c r="IQ15" i="94"/>
  <c r="IR15" i="94"/>
  <c r="IV15" i="94"/>
  <c r="IU15" i="94"/>
  <c r="IT15" i="94"/>
  <c r="IZ15" i="94"/>
  <c r="IS16" i="94"/>
  <c r="IR16" i="94"/>
  <c r="IV16" i="94"/>
  <c r="IU16" i="94"/>
  <c r="IT16" i="94"/>
  <c r="IZ16" i="94"/>
  <c r="IS17" i="94"/>
  <c r="IQ17" i="94"/>
  <c r="IR17" i="94"/>
  <c r="IV17" i="94"/>
  <c r="IT17" i="94"/>
  <c r="IZ17" i="94"/>
  <c r="IS18" i="94"/>
  <c r="IQ18" i="94"/>
  <c r="IR18" i="94"/>
  <c r="IV18" i="94"/>
  <c r="IU18" i="94"/>
  <c r="IT18" i="94"/>
  <c r="IZ18" i="94"/>
  <c r="HU14" i="94"/>
  <c r="HS14" i="94"/>
  <c r="HT14" i="94"/>
  <c r="HX14" i="94"/>
  <c r="HW14" i="94"/>
  <c r="HV14" i="94"/>
  <c r="IB14" i="94"/>
  <c r="HU15" i="94"/>
  <c r="HS15" i="94"/>
  <c r="HT15" i="94"/>
  <c r="HX15" i="94"/>
  <c r="HW15" i="94"/>
  <c r="HV15" i="94"/>
  <c r="IB15" i="94"/>
  <c r="HU16" i="94"/>
  <c r="HT16" i="94"/>
  <c r="HX16" i="94"/>
  <c r="HW16" i="94"/>
  <c r="HV16" i="94"/>
  <c r="IB16" i="94"/>
  <c r="HU17" i="94"/>
  <c r="HS17" i="94"/>
  <c r="HT17" i="94"/>
  <c r="HX17" i="94"/>
  <c r="HV17" i="94"/>
  <c r="IB17" i="94"/>
  <c r="HU18" i="94"/>
  <c r="HS18" i="94"/>
  <c r="HT18" i="94"/>
  <c r="HX18" i="94"/>
  <c r="HW18" i="94"/>
  <c r="HV18" i="94"/>
  <c r="IB18" i="94"/>
  <c r="DE14" i="94"/>
  <c r="DC14" i="94"/>
  <c r="DD14" i="94"/>
  <c r="DH14" i="94"/>
  <c r="DG14" i="94"/>
  <c r="DF14" i="94"/>
  <c r="DL14" i="94"/>
  <c r="DE15" i="94"/>
  <c r="DC15" i="94"/>
  <c r="DD15" i="94"/>
  <c r="DH15" i="94"/>
  <c r="DG15" i="94"/>
  <c r="DF15" i="94"/>
  <c r="DL15" i="94"/>
  <c r="DE16" i="94"/>
  <c r="DC16" i="94"/>
  <c r="DD16" i="94"/>
  <c r="DH16" i="94"/>
  <c r="DG16" i="94"/>
  <c r="DF16" i="94"/>
  <c r="DL16" i="94"/>
  <c r="DE17" i="94"/>
  <c r="DC17" i="94"/>
  <c r="DD17" i="94"/>
  <c r="DH17" i="94"/>
  <c r="DF17" i="94"/>
  <c r="DL17" i="94"/>
  <c r="DE18" i="94"/>
  <c r="DC18" i="94"/>
  <c r="DD18" i="94"/>
  <c r="DH18" i="94"/>
  <c r="DG18" i="94"/>
  <c r="DF18" i="94"/>
  <c r="DL18" i="94"/>
  <c r="CG14" i="94"/>
  <c r="CE14" i="94"/>
  <c r="CF14" i="94"/>
  <c r="CJ14" i="94"/>
  <c r="CI14" i="94"/>
  <c r="CH14" i="94"/>
  <c r="CN14" i="94"/>
  <c r="CG15" i="94"/>
  <c r="CE15" i="94"/>
  <c r="CF15" i="94"/>
  <c r="CJ15" i="94"/>
  <c r="CI15" i="94"/>
  <c r="CH15" i="94"/>
  <c r="CN15" i="94"/>
  <c r="CG16" i="94"/>
  <c r="CJ16" i="94"/>
  <c r="CI16" i="94"/>
  <c r="CH16" i="94"/>
  <c r="CN16" i="94"/>
  <c r="CG17" i="94"/>
  <c r="CE17" i="94"/>
  <c r="CF17" i="94"/>
  <c r="CJ17" i="94"/>
  <c r="CG18" i="94"/>
  <c r="CE18" i="94"/>
  <c r="CF18" i="94"/>
  <c r="CJ18" i="94"/>
  <c r="CI18" i="94"/>
  <c r="CH18" i="94"/>
  <c r="CN18" i="94"/>
  <c r="EA5" i="94"/>
  <c r="EB5" i="94"/>
  <c r="EF5" i="94"/>
  <c r="ED5" i="94"/>
  <c r="EJ5" i="94"/>
  <c r="EC6" i="94"/>
  <c r="H6" i="94"/>
  <c r="EF6" i="94"/>
  <c r="EE6" i="94"/>
  <c r="EC7" i="94"/>
  <c r="EA7" i="94"/>
  <c r="EB7" i="94"/>
  <c r="EF7" i="94"/>
  <c r="EJ7" i="94"/>
  <c r="EA8" i="94"/>
  <c r="EB8" i="94"/>
  <c r="EE8" i="94"/>
  <c r="ED8" i="94"/>
  <c r="EC9" i="94"/>
  <c r="EA9" i="94"/>
  <c r="EB9" i="94"/>
  <c r="EF9" i="94"/>
  <c r="EE9" i="94"/>
  <c r="ED9" i="94"/>
  <c r="EJ9" i="94"/>
  <c r="GU5" i="94"/>
  <c r="GV5" i="94"/>
  <c r="GZ5" i="94"/>
  <c r="GX5" i="94"/>
  <c r="HD5" i="94"/>
  <c r="GW6" i="94"/>
  <c r="GZ6" i="94"/>
  <c r="GY6" i="94"/>
  <c r="GW7" i="94"/>
  <c r="GU7" i="94"/>
  <c r="GV7" i="94"/>
  <c r="GZ7" i="94"/>
  <c r="HD7" i="94"/>
  <c r="GU8" i="94"/>
  <c r="GV8" i="94"/>
  <c r="GY8" i="94"/>
  <c r="GX8" i="94"/>
  <c r="GW9" i="94"/>
  <c r="GU9" i="94"/>
  <c r="GV9" i="94"/>
  <c r="GZ9" i="94"/>
  <c r="GY9" i="94"/>
  <c r="GX9" i="94"/>
  <c r="HD9" i="94"/>
  <c r="FW5" i="94"/>
  <c r="FX5" i="94"/>
  <c r="GB5" i="94"/>
  <c r="FZ5" i="94"/>
  <c r="GF5" i="94"/>
  <c r="FY6" i="94"/>
  <c r="GB6" i="94"/>
  <c r="GA6" i="94"/>
  <c r="FY7" i="94"/>
  <c r="FW7" i="94"/>
  <c r="FX7" i="94"/>
  <c r="GB7" i="94"/>
  <c r="GF7" i="94"/>
  <c r="FW8" i="94"/>
  <c r="FX8" i="94"/>
  <c r="GA8" i="94"/>
  <c r="FZ8" i="94"/>
  <c r="FY9" i="94"/>
  <c r="FW9" i="94"/>
  <c r="FX9" i="94"/>
  <c r="GB9" i="94"/>
  <c r="GA9" i="94"/>
  <c r="FZ9" i="94"/>
  <c r="GF9" i="94"/>
  <c r="EY5" i="94"/>
  <c r="EZ5" i="94"/>
  <c r="FD5" i="94"/>
  <c r="FB5" i="94"/>
  <c r="FH5" i="94"/>
  <c r="FA6" i="94"/>
  <c r="FD6" i="94"/>
  <c r="FC6" i="94"/>
  <c r="FA7" i="94"/>
  <c r="EY7" i="94"/>
  <c r="EZ7" i="94"/>
  <c r="FD7" i="94"/>
  <c r="FH7" i="94"/>
  <c r="EY8" i="94"/>
  <c r="EZ8" i="94"/>
  <c r="FC8" i="94"/>
  <c r="FB8" i="94"/>
  <c r="FA9" i="94"/>
  <c r="EY9" i="94"/>
  <c r="EZ9" i="94"/>
  <c r="FD9" i="94"/>
  <c r="FC9" i="94"/>
  <c r="FB9" i="94"/>
  <c r="FH9" i="94"/>
  <c r="IS5" i="94"/>
  <c r="IQ5" i="94"/>
  <c r="IR5" i="94"/>
  <c r="IV5" i="94"/>
  <c r="IU5" i="94"/>
  <c r="IT5" i="94"/>
  <c r="IZ5" i="94"/>
  <c r="IS6" i="94"/>
  <c r="IV6" i="94"/>
  <c r="IU6" i="94"/>
  <c r="IT6" i="94"/>
  <c r="IS7" i="94"/>
  <c r="IQ7" i="94"/>
  <c r="IR7" i="94"/>
  <c r="IV7" i="94"/>
  <c r="IU7" i="94"/>
  <c r="IT7" i="94"/>
  <c r="IZ7" i="94"/>
  <c r="IQ8" i="94"/>
  <c r="IR8" i="94"/>
  <c r="IV8" i="94"/>
  <c r="IU8" i="94"/>
  <c r="IT8" i="94"/>
  <c r="IZ8" i="94"/>
  <c r="IS9" i="94"/>
  <c r="IQ9" i="94"/>
  <c r="IR9" i="94"/>
  <c r="IV9" i="94"/>
  <c r="IU9" i="94"/>
  <c r="IT9" i="94"/>
  <c r="IZ9" i="94"/>
  <c r="HU5" i="94"/>
  <c r="HS5" i="94"/>
  <c r="HT5" i="94"/>
  <c r="HX5" i="94"/>
  <c r="HW5" i="94"/>
  <c r="HV5" i="94"/>
  <c r="IB5" i="94"/>
  <c r="HU6" i="94"/>
  <c r="HS6" i="94"/>
  <c r="HX6" i="94"/>
  <c r="HW6" i="94"/>
  <c r="HV6" i="94"/>
  <c r="HU7" i="94"/>
  <c r="HS7" i="94"/>
  <c r="HT7" i="94"/>
  <c r="HX7" i="94"/>
  <c r="HW7" i="94"/>
  <c r="IB7" i="94"/>
  <c r="HS8" i="94"/>
  <c r="HT8" i="94"/>
  <c r="HX8" i="94"/>
  <c r="HW8" i="94"/>
  <c r="HV8" i="94"/>
  <c r="IB8" i="94"/>
  <c r="HU9" i="94"/>
  <c r="HS9" i="94"/>
  <c r="HT9" i="94"/>
  <c r="HX9" i="94"/>
  <c r="HW9" i="94"/>
  <c r="HV9" i="94"/>
  <c r="IB9" i="94"/>
  <c r="DE5" i="94"/>
  <c r="DC5" i="94"/>
  <c r="DD5" i="94"/>
  <c r="DH5" i="94"/>
  <c r="DG5" i="94"/>
  <c r="DF5" i="94"/>
  <c r="DL5" i="94"/>
  <c r="DE6" i="94"/>
  <c r="DC6" i="94"/>
  <c r="DD6" i="94"/>
  <c r="DH6" i="94"/>
  <c r="DG6" i="94"/>
  <c r="DF6" i="94"/>
  <c r="DL6" i="94"/>
  <c r="DE7" i="94"/>
  <c r="DC7" i="94"/>
  <c r="DD7" i="94"/>
  <c r="DH7" i="94"/>
  <c r="DG7" i="94"/>
  <c r="DL7" i="94"/>
  <c r="DC8" i="94"/>
  <c r="DD8" i="94"/>
  <c r="DH8" i="94"/>
  <c r="DG8" i="94"/>
  <c r="DF8" i="94"/>
  <c r="DL8" i="94"/>
  <c r="DE9" i="94"/>
  <c r="DC9" i="94"/>
  <c r="DD9" i="94"/>
  <c r="DH9" i="94"/>
  <c r="DG9" i="94"/>
  <c r="DF9" i="94"/>
  <c r="DL9" i="94"/>
  <c r="CE5" i="94"/>
  <c r="CF5" i="94"/>
  <c r="CJ5" i="94"/>
  <c r="CH5" i="94"/>
  <c r="CN5" i="94"/>
  <c r="CG6" i="94"/>
  <c r="CJ6" i="94"/>
  <c r="CI6" i="94"/>
  <c r="CG7" i="94"/>
  <c r="CE7" i="94"/>
  <c r="CF7" i="94"/>
  <c r="CJ7" i="94"/>
  <c r="CN7" i="94"/>
  <c r="CE8" i="94"/>
  <c r="CF8" i="94"/>
  <c r="CI8" i="94"/>
  <c r="CH8" i="94"/>
  <c r="CG9" i="94"/>
  <c r="CE9" i="94"/>
  <c r="CF9" i="94"/>
  <c r="CJ9" i="94"/>
  <c r="CI9" i="94"/>
  <c r="CH9" i="94"/>
  <c r="CN9" i="94"/>
  <c r="D4" i="132"/>
  <c r="D4" i="135"/>
  <c r="D4" i="137"/>
  <c r="D4" i="123"/>
  <c r="D4" i="134"/>
  <c r="D4" i="133"/>
  <c r="D4" i="140"/>
  <c r="D4" i="139"/>
  <c r="BP27" i="94"/>
  <c r="BJ27" i="94"/>
  <c r="BK27" i="94"/>
  <c r="BL27" i="94"/>
  <c r="BG27" i="94"/>
  <c r="BI27" i="94"/>
  <c r="BP26" i="94"/>
  <c r="BJ26" i="94"/>
  <c r="BK26" i="94"/>
  <c r="BL26" i="94"/>
  <c r="BI26" i="94"/>
  <c r="BP25" i="94"/>
  <c r="BJ25" i="94"/>
  <c r="BK25" i="94"/>
  <c r="BL25" i="94"/>
  <c r="BH25" i="94"/>
  <c r="BG25" i="94"/>
  <c r="BI25" i="94"/>
  <c r="BP24" i="94"/>
  <c r="BJ24" i="94"/>
  <c r="BK24" i="94"/>
  <c r="BL24" i="94"/>
  <c r="BH24" i="94"/>
  <c r="BG24" i="94"/>
  <c r="BI24" i="94"/>
  <c r="BP23" i="94"/>
  <c r="BJ23" i="94"/>
  <c r="BK23" i="94"/>
  <c r="BL23" i="94"/>
  <c r="BH23" i="94"/>
  <c r="BG23" i="94"/>
  <c r="BI23" i="94"/>
  <c r="BP18" i="94"/>
  <c r="BJ18" i="94"/>
  <c r="BK18" i="94"/>
  <c r="BL18" i="94"/>
  <c r="BH18" i="94"/>
  <c r="BG18" i="94"/>
  <c r="BI18" i="94"/>
  <c r="BL17" i="94"/>
  <c r="BH17" i="94"/>
  <c r="BG17" i="94"/>
  <c r="BI17" i="94"/>
  <c r="BP16" i="94"/>
  <c r="BJ16" i="94"/>
  <c r="BK16" i="94"/>
  <c r="BL16" i="94"/>
  <c r="BI16" i="94"/>
  <c r="BP15" i="94"/>
  <c r="BJ15" i="94"/>
  <c r="BK15" i="94"/>
  <c r="BL15" i="94"/>
  <c r="BH15" i="94"/>
  <c r="BG15" i="94"/>
  <c r="BI15" i="94"/>
  <c r="BP14" i="94"/>
  <c r="BJ14" i="94"/>
  <c r="BK14" i="94"/>
  <c r="BL14" i="94"/>
  <c r="BH14" i="94"/>
  <c r="BG14" i="94"/>
  <c r="BI14" i="94"/>
  <c r="BH7" i="94"/>
  <c r="BH8" i="94"/>
  <c r="BH9" i="94"/>
  <c r="BH5" i="94"/>
  <c r="BI6" i="94"/>
  <c r="BI7" i="94"/>
  <c r="BI9" i="94"/>
  <c r="BP9" i="94"/>
  <c r="BJ9" i="94"/>
  <c r="BK9" i="94"/>
  <c r="BL9" i="94"/>
  <c r="BG9" i="94"/>
  <c r="BJ8" i="94"/>
  <c r="BK8" i="94"/>
  <c r="BG8" i="94"/>
  <c r="BP7" i="94"/>
  <c r="BL7" i="94"/>
  <c r="BG7" i="94"/>
  <c r="BK6" i="94"/>
  <c r="BL6" i="94"/>
  <c r="BP5" i="94"/>
  <c r="BJ5" i="94"/>
  <c r="BL5" i="94"/>
  <c r="AR27" i="94"/>
  <c r="AL27" i="94"/>
  <c r="AJ27" i="94"/>
  <c r="AR26" i="94"/>
  <c r="AL26" i="94"/>
  <c r="AJ26" i="94"/>
  <c r="AR25" i="94"/>
  <c r="AL25" i="94"/>
  <c r="AJ25" i="94"/>
  <c r="AR24" i="94"/>
  <c r="AL24" i="94"/>
  <c r="AJ24" i="94"/>
  <c r="AR23" i="94"/>
  <c r="AL23" i="94"/>
  <c r="AJ23" i="94"/>
  <c r="AR18" i="94"/>
  <c r="AL18" i="94"/>
  <c r="AJ18" i="94"/>
  <c r="H18" i="94"/>
  <c r="AR17" i="94"/>
  <c r="AL17" i="94"/>
  <c r="AJ17" i="94"/>
  <c r="AR16" i="94"/>
  <c r="AL16" i="94"/>
  <c r="AJ16" i="94"/>
  <c r="AR15" i="94"/>
  <c r="AL15" i="94"/>
  <c r="AJ15" i="94"/>
  <c r="AR14" i="94"/>
  <c r="AL14" i="94"/>
  <c r="AJ14" i="94"/>
  <c r="AR9" i="94"/>
  <c r="AL9" i="94"/>
  <c r="AJ9" i="94"/>
  <c r="H9" i="94"/>
  <c r="AR8" i="94"/>
  <c r="AL8" i="94"/>
  <c r="AJ8" i="94"/>
  <c r="H8" i="94"/>
  <c r="AR7" i="94"/>
  <c r="AL7" i="94"/>
  <c r="AJ7" i="94"/>
  <c r="H7" i="94"/>
  <c r="AR6" i="94"/>
  <c r="AL6" i="94"/>
  <c r="AJ6" i="94"/>
  <c r="AR5" i="94"/>
  <c r="AL5" i="94"/>
  <c r="AJ5" i="94"/>
  <c r="E104" i="140"/>
  <c r="E103" i="140"/>
  <c r="E102" i="140"/>
  <c r="E131" i="140" s="1"/>
  <c r="E101" i="140"/>
  <c r="E100" i="140"/>
  <c r="E99" i="140"/>
  <c r="E98" i="140"/>
  <c r="E97" i="140"/>
  <c r="E96" i="140"/>
  <c r="E95" i="140"/>
  <c r="E94" i="140"/>
  <c r="E93" i="140"/>
  <c r="E105" i="140" s="1"/>
  <c r="E132" i="140" s="1"/>
  <c r="E92" i="140"/>
  <c r="E91" i="140"/>
  <c r="E90" i="140"/>
  <c r="E89" i="140"/>
  <c r="E88" i="140"/>
  <c r="E87" i="140"/>
  <c r="E86" i="140"/>
  <c r="E85" i="140"/>
  <c r="E84" i="140"/>
  <c r="E125" i="140" s="1"/>
  <c r="E83" i="140"/>
  <c r="E82" i="140"/>
  <c r="E81" i="140"/>
  <c r="E80" i="140"/>
  <c r="E79" i="140"/>
  <c r="E78" i="140"/>
  <c r="E123" i="140" s="1"/>
  <c r="E77" i="140"/>
  <c r="E76" i="140"/>
  <c r="E75" i="140"/>
  <c r="E74" i="140"/>
  <c r="E73" i="140"/>
  <c r="E72" i="140"/>
  <c r="E104" i="139"/>
  <c r="E103" i="139"/>
  <c r="E102" i="139"/>
  <c r="E131" i="139" s="1"/>
  <c r="E101" i="139"/>
  <c r="E100" i="139"/>
  <c r="E99" i="139"/>
  <c r="E98" i="139"/>
  <c r="E97" i="139"/>
  <c r="E96" i="139"/>
  <c r="E129" i="139" s="1"/>
  <c r="E95" i="139"/>
  <c r="E94" i="139"/>
  <c r="E93" i="139"/>
  <c r="E111" i="139" s="1"/>
  <c r="E92" i="139"/>
  <c r="E91" i="139"/>
  <c r="E90" i="139"/>
  <c r="E89" i="139"/>
  <c r="E88" i="139"/>
  <c r="E87" i="139"/>
  <c r="E126" i="139" s="1"/>
  <c r="E86" i="139"/>
  <c r="E85" i="139"/>
  <c r="E84" i="139"/>
  <c r="E83" i="139"/>
  <c r="E82" i="139"/>
  <c r="E81" i="139"/>
  <c r="E80" i="139"/>
  <c r="E79" i="139"/>
  <c r="E78" i="139"/>
  <c r="E77" i="139"/>
  <c r="E76" i="139"/>
  <c r="E75" i="139"/>
  <c r="E74" i="139"/>
  <c r="E73" i="139"/>
  <c r="E72" i="139"/>
  <c r="E104" i="137"/>
  <c r="E103" i="137"/>
  <c r="E102" i="137"/>
  <c r="E131" i="137" s="1"/>
  <c r="E101" i="137"/>
  <c r="E100" i="137"/>
  <c r="E99" i="137"/>
  <c r="E98" i="137"/>
  <c r="E97" i="137"/>
  <c r="E96" i="137"/>
  <c r="E129" i="137" s="1"/>
  <c r="E95" i="137"/>
  <c r="E94" i="137"/>
  <c r="E93" i="137"/>
  <c r="E92" i="137"/>
  <c r="E91" i="137"/>
  <c r="E90" i="137"/>
  <c r="E89" i="137"/>
  <c r="E88" i="137"/>
  <c r="E87" i="137"/>
  <c r="E126" i="137" s="1"/>
  <c r="E86" i="137"/>
  <c r="E85" i="137"/>
  <c r="E84" i="137"/>
  <c r="E83" i="137"/>
  <c r="E82" i="137"/>
  <c r="E81" i="137"/>
  <c r="E124" i="137" s="1"/>
  <c r="E80" i="137"/>
  <c r="E79" i="137"/>
  <c r="E78" i="137"/>
  <c r="E123" i="137" s="1"/>
  <c r="E77" i="137"/>
  <c r="E76" i="137"/>
  <c r="E75" i="137"/>
  <c r="E74" i="137"/>
  <c r="E73" i="137"/>
  <c r="E72" i="137"/>
  <c r="E121" i="137" s="1"/>
  <c r="E104" i="138"/>
  <c r="E103" i="138"/>
  <c r="E102" i="138"/>
  <c r="E101" i="138"/>
  <c r="E100" i="138"/>
  <c r="E99" i="138"/>
  <c r="E98" i="138"/>
  <c r="E97" i="138"/>
  <c r="E96" i="138"/>
  <c r="E129" i="138" s="1"/>
  <c r="E95" i="138"/>
  <c r="E94" i="138"/>
  <c r="E93" i="138"/>
  <c r="E92" i="138"/>
  <c r="E91" i="138"/>
  <c r="E90" i="138"/>
  <c r="E89" i="138"/>
  <c r="E88" i="138"/>
  <c r="E87" i="138"/>
  <c r="E126" i="138" s="1"/>
  <c r="E86" i="138"/>
  <c r="E85" i="138"/>
  <c r="E84" i="138"/>
  <c r="E125" i="138" s="1"/>
  <c r="E83" i="138"/>
  <c r="E82" i="138"/>
  <c r="E81" i="138"/>
  <c r="E124" i="138" s="1"/>
  <c r="E80" i="138"/>
  <c r="E79" i="138"/>
  <c r="E78" i="138"/>
  <c r="E77" i="138"/>
  <c r="E76" i="138"/>
  <c r="E75" i="138"/>
  <c r="E74" i="138"/>
  <c r="E73" i="138"/>
  <c r="E72" i="138"/>
  <c r="E104" i="136"/>
  <c r="E103" i="136"/>
  <c r="E102" i="136"/>
  <c r="E101" i="136"/>
  <c r="E100" i="136"/>
  <c r="E99" i="136"/>
  <c r="E98" i="136"/>
  <c r="E97" i="136"/>
  <c r="E96" i="136"/>
  <c r="E129" i="136" s="1"/>
  <c r="E95" i="136"/>
  <c r="E94" i="136"/>
  <c r="E93" i="136"/>
  <c r="E92" i="136"/>
  <c r="E91" i="136"/>
  <c r="E90" i="136"/>
  <c r="E127" i="136" s="1"/>
  <c r="E89" i="136"/>
  <c r="E88" i="136"/>
  <c r="E87" i="136"/>
  <c r="E86" i="136"/>
  <c r="E85" i="136"/>
  <c r="E84" i="136"/>
  <c r="E83" i="136"/>
  <c r="E82" i="136"/>
  <c r="E81" i="136"/>
  <c r="E124" i="136" s="1"/>
  <c r="E80" i="136"/>
  <c r="E79" i="136"/>
  <c r="E78" i="136"/>
  <c r="E77" i="136"/>
  <c r="E76" i="136"/>
  <c r="E75" i="136"/>
  <c r="E74" i="136"/>
  <c r="E73" i="136"/>
  <c r="E72" i="136"/>
  <c r="E104" i="135"/>
  <c r="E103" i="135"/>
  <c r="E102" i="135"/>
  <c r="E101" i="135"/>
  <c r="E100" i="135"/>
  <c r="E99" i="135"/>
  <c r="E130" i="135" s="1"/>
  <c r="E98" i="135"/>
  <c r="E97" i="135"/>
  <c r="E96" i="135"/>
  <c r="E95" i="135"/>
  <c r="E94" i="135"/>
  <c r="E93" i="135"/>
  <c r="E92" i="135"/>
  <c r="E91" i="135"/>
  <c r="E90" i="135"/>
  <c r="E127" i="135" s="1"/>
  <c r="E89" i="135"/>
  <c r="E88" i="135"/>
  <c r="E87" i="135"/>
  <c r="E86" i="135"/>
  <c r="E85" i="135"/>
  <c r="E84" i="135"/>
  <c r="E125" i="135" s="1"/>
  <c r="E83" i="135"/>
  <c r="E82" i="135"/>
  <c r="E81" i="135"/>
  <c r="E80" i="135"/>
  <c r="E79" i="135"/>
  <c r="E78" i="135"/>
  <c r="E77" i="135"/>
  <c r="E76" i="135"/>
  <c r="E75" i="135"/>
  <c r="E122" i="135" s="1"/>
  <c r="E74" i="135"/>
  <c r="E73" i="135"/>
  <c r="E72" i="135"/>
  <c r="E104" i="133"/>
  <c r="E103" i="133"/>
  <c r="E102" i="133"/>
  <c r="E101" i="133"/>
  <c r="E100" i="133"/>
  <c r="E99" i="133"/>
  <c r="E130" i="133" s="1"/>
  <c r="E98" i="133"/>
  <c r="E97" i="133"/>
  <c r="E96" i="133"/>
  <c r="E95" i="133"/>
  <c r="E94" i="133"/>
  <c r="E93" i="133"/>
  <c r="E105" i="133" s="1"/>
  <c r="E132" i="133" s="1"/>
  <c r="E92" i="133"/>
  <c r="E91" i="133"/>
  <c r="E90" i="133"/>
  <c r="E89" i="133"/>
  <c r="E88" i="133"/>
  <c r="E87" i="133"/>
  <c r="E126" i="133" s="1"/>
  <c r="E86" i="133"/>
  <c r="E85" i="133"/>
  <c r="E84" i="133"/>
  <c r="E125" i="133" s="1"/>
  <c r="E83" i="133"/>
  <c r="E82" i="133"/>
  <c r="E81" i="133"/>
  <c r="E80" i="133"/>
  <c r="E79" i="133"/>
  <c r="E78" i="133"/>
  <c r="E77" i="133"/>
  <c r="E76" i="133"/>
  <c r="E75" i="133"/>
  <c r="E122" i="133" s="1"/>
  <c r="E74" i="133"/>
  <c r="E73" i="133"/>
  <c r="E72" i="133"/>
  <c r="E104" i="132"/>
  <c r="E103" i="132"/>
  <c r="E102" i="132"/>
  <c r="E131" i="132" s="1"/>
  <c r="E101" i="132"/>
  <c r="E100" i="132"/>
  <c r="E99" i="132"/>
  <c r="E130" i="132" s="1"/>
  <c r="E98" i="132"/>
  <c r="E97" i="132"/>
  <c r="E96" i="132"/>
  <c r="E95" i="132"/>
  <c r="E94" i="132"/>
  <c r="E93" i="132"/>
  <c r="E106" i="132" s="1"/>
  <c r="E92" i="132"/>
  <c r="E91" i="132"/>
  <c r="E90" i="132"/>
  <c r="E89" i="132"/>
  <c r="E88" i="132"/>
  <c r="E87" i="132"/>
  <c r="E86" i="132"/>
  <c r="E85" i="132"/>
  <c r="E84" i="132"/>
  <c r="E125" i="132" s="1"/>
  <c r="E83" i="132"/>
  <c r="E82" i="132"/>
  <c r="E81" i="132"/>
  <c r="E124" i="132" s="1"/>
  <c r="E80" i="132"/>
  <c r="E79" i="132"/>
  <c r="E78" i="132"/>
  <c r="E77" i="132"/>
  <c r="E76" i="132"/>
  <c r="E75" i="132"/>
  <c r="E74" i="132"/>
  <c r="E73" i="132"/>
  <c r="E72" i="132"/>
  <c r="E70" i="113"/>
  <c r="D70" i="113"/>
  <c r="F70" i="113" s="1"/>
  <c r="E69" i="113"/>
  <c r="D69" i="113"/>
  <c r="E68" i="113"/>
  <c r="F68" i="113" s="1"/>
  <c r="D68" i="113"/>
  <c r="E67" i="113"/>
  <c r="D67" i="113"/>
  <c r="E66" i="113"/>
  <c r="D66" i="113"/>
  <c r="F66" i="113" s="1"/>
  <c r="E65" i="113"/>
  <c r="D65" i="113"/>
  <c r="E64" i="113"/>
  <c r="F64" i="113" s="1"/>
  <c r="D64" i="113"/>
  <c r="E63" i="113"/>
  <c r="D63" i="113"/>
  <c r="E70" i="98"/>
  <c r="D70" i="98"/>
  <c r="F70" i="98" s="1"/>
  <c r="E69" i="98"/>
  <c r="D69" i="98"/>
  <c r="E68" i="98"/>
  <c r="D68" i="98"/>
  <c r="E67" i="98"/>
  <c r="D67" i="98"/>
  <c r="E66" i="98"/>
  <c r="D66" i="98"/>
  <c r="F66" i="98" s="1"/>
  <c r="E65" i="98"/>
  <c r="D65" i="98"/>
  <c r="E64" i="98"/>
  <c r="D64" i="98"/>
  <c r="E63" i="98"/>
  <c r="D63" i="98"/>
  <c r="E70" i="140"/>
  <c r="D70" i="140"/>
  <c r="F70" i="140" s="1"/>
  <c r="E69" i="140"/>
  <c r="D69" i="140"/>
  <c r="E68" i="140"/>
  <c r="F68" i="140" s="1"/>
  <c r="D68" i="140"/>
  <c r="E67" i="140"/>
  <c r="D67" i="140"/>
  <c r="E66" i="140"/>
  <c r="D66" i="140"/>
  <c r="F66" i="140" s="1"/>
  <c r="E65" i="140"/>
  <c r="D65" i="140"/>
  <c r="E64" i="140"/>
  <c r="D64" i="140"/>
  <c r="E63" i="140"/>
  <c r="D63" i="140"/>
  <c r="E70" i="139"/>
  <c r="D70" i="139"/>
  <c r="F70" i="139" s="1"/>
  <c r="E69" i="139"/>
  <c r="D69" i="139"/>
  <c r="E68" i="139"/>
  <c r="F68" i="139" s="1"/>
  <c r="D68" i="139"/>
  <c r="E67" i="139"/>
  <c r="D67" i="139"/>
  <c r="E66" i="139"/>
  <c r="D66" i="139"/>
  <c r="F66" i="139" s="1"/>
  <c r="E65" i="139"/>
  <c r="D65" i="139"/>
  <c r="E64" i="139"/>
  <c r="D64" i="139"/>
  <c r="E63" i="139"/>
  <c r="D63" i="139"/>
  <c r="E70" i="97"/>
  <c r="D70" i="97"/>
  <c r="F70" i="97" s="1"/>
  <c r="E69" i="97"/>
  <c r="D69" i="97"/>
  <c r="E68" i="97"/>
  <c r="D68" i="97"/>
  <c r="E67" i="97"/>
  <c r="D67" i="97"/>
  <c r="E66" i="97"/>
  <c r="D66" i="97"/>
  <c r="F66" i="97" s="1"/>
  <c r="E65" i="97"/>
  <c r="D65" i="97"/>
  <c r="E64" i="97"/>
  <c r="D64" i="97"/>
  <c r="E63" i="97"/>
  <c r="D63" i="97"/>
  <c r="E70" i="117"/>
  <c r="D70" i="117"/>
  <c r="F70" i="117" s="1"/>
  <c r="E69" i="117"/>
  <c r="D69" i="117"/>
  <c r="E68" i="117"/>
  <c r="F68" i="117" s="1"/>
  <c r="D68" i="117"/>
  <c r="E67" i="117"/>
  <c r="D67" i="117"/>
  <c r="E66" i="117"/>
  <c r="D66" i="117"/>
  <c r="F66" i="117" s="1"/>
  <c r="E65" i="117"/>
  <c r="D65" i="117"/>
  <c r="E64" i="117"/>
  <c r="D64" i="117"/>
  <c r="E63" i="117"/>
  <c r="D63" i="117"/>
  <c r="E70" i="123"/>
  <c r="D70" i="123"/>
  <c r="E69" i="123"/>
  <c r="D69" i="123"/>
  <c r="E68" i="123"/>
  <c r="F68" i="123" s="1"/>
  <c r="D68" i="123"/>
  <c r="E67" i="123"/>
  <c r="D67" i="123"/>
  <c r="E66" i="123"/>
  <c r="D66" i="123"/>
  <c r="F66" i="123" s="1"/>
  <c r="E65" i="123"/>
  <c r="D65" i="123"/>
  <c r="E64" i="123"/>
  <c r="D64" i="123"/>
  <c r="E63" i="123"/>
  <c r="D63" i="123"/>
  <c r="E70" i="137"/>
  <c r="D70" i="137"/>
  <c r="F70" i="137" s="1"/>
  <c r="E69" i="137"/>
  <c r="D69" i="137"/>
  <c r="E68" i="137"/>
  <c r="D68" i="137"/>
  <c r="E67" i="137"/>
  <c r="D67" i="137"/>
  <c r="E66" i="137"/>
  <c r="D66" i="137"/>
  <c r="F66" i="137" s="1"/>
  <c r="E65" i="137"/>
  <c r="F65" i="137" s="1"/>
  <c r="D65" i="137"/>
  <c r="E64" i="137"/>
  <c r="F64" i="137" s="1"/>
  <c r="D64" i="137"/>
  <c r="E63" i="137"/>
  <c r="D63" i="137"/>
  <c r="E70" i="138"/>
  <c r="D70" i="138"/>
  <c r="F70" i="138" s="1"/>
  <c r="E69" i="138"/>
  <c r="D69" i="138"/>
  <c r="E68" i="138"/>
  <c r="D68" i="138"/>
  <c r="E67" i="138"/>
  <c r="D67" i="138"/>
  <c r="E66" i="138"/>
  <c r="D66" i="138"/>
  <c r="F66" i="138" s="1"/>
  <c r="E65" i="138"/>
  <c r="D65" i="138"/>
  <c r="E64" i="138"/>
  <c r="D64" i="138"/>
  <c r="E63" i="138"/>
  <c r="D63" i="138"/>
  <c r="E70" i="96"/>
  <c r="D70" i="96"/>
  <c r="F70" i="96" s="1"/>
  <c r="E69" i="96"/>
  <c r="D69" i="96"/>
  <c r="E68" i="96"/>
  <c r="F68" i="96" s="1"/>
  <c r="D68" i="96"/>
  <c r="E67" i="96"/>
  <c r="D67" i="96"/>
  <c r="E66" i="96"/>
  <c r="D66" i="96"/>
  <c r="F66" i="96" s="1"/>
  <c r="E65" i="96"/>
  <c r="D65" i="96"/>
  <c r="E64" i="96"/>
  <c r="F64" i="96" s="1"/>
  <c r="D64" i="96"/>
  <c r="E63" i="96"/>
  <c r="D63" i="96"/>
  <c r="E70" i="136"/>
  <c r="D70" i="136"/>
  <c r="F70" i="136" s="1"/>
  <c r="E69" i="136"/>
  <c r="D69" i="136"/>
  <c r="E68" i="136"/>
  <c r="F68" i="136" s="1"/>
  <c r="D68" i="136"/>
  <c r="E67" i="136"/>
  <c r="D67" i="136"/>
  <c r="E66" i="136"/>
  <c r="D66" i="136"/>
  <c r="F66" i="136" s="1"/>
  <c r="E65" i="136"/>
  <c r="D65" i="136"/>
  <c r="E64" i="136"/>
  <c r="D64" i="136"/>
  <c r="E63" i="136"/>
  <c r="D63" i="136"/>
  <c r="E70" i="91"/>
  <c r="D70" i="91"/>
  <c r="F70" i="91" s="1"/>
  <c r="E69" i="91"/>
  <c r="D69" i="91"/>
  <c r="E68" i="91"/>
  <c r="F68" i="91" s="1"/>
  <c r="D68" i="91"/>
  <c r="E67" i="91"/>
  <c r="D67" i="91"/>
  <c r="E66" i="91"/>
  <c r="D66" i="91"/>
  <c r="F66" i="91" s="1"/>
  <c r="E65" i="91"/>
  <c r="D65" i="91"/>
  <c r="E64" i="91"/>
  <c r="D64" i="91"/>
  <c r="E63" i="91"/>
  <c r="D63" i="91"/>
  <c r="E70" i="124"/>
  <c r="D70" i="124"/>
  <c r="E69" i="124"/>
  <c r="D69" i="124"/>
  <c r="E68" i="124"/>
  <c r="F68" i="124" s="1"/>
  <c r="D68" i="124"/>
  <c r="E67" i="124"/>
  <c r="D67" i="124"/>
  <c r="E66" i="124"/>
  <c r="D66" i="124"/>
  <c r="E65" i="124"/>
  <c r="D65" i="124"/>
  <c r="E64" i="124"/>
  <c r="F64" i="124" s="1"/>
  <c r="D64" i="124"/>
  <c r="E63" i="124"/>
  <c r="D63" i="124"/>
  <c r="E70" i="135"/>
  <c r="D70" i="135"/>
  <c r="F70" i="135" s="1"/>
  <c r="E69" i="135"/>
  <c r="D69" i="135"/>
  <c r="E68" i="135"/>
  <c r="F68" i="135" s="1"/>
  <c r="D68" i="135"/>
  <c r="E67" i="135"/>
  <c r="D67" i="135"/>
  <c r="E66" i="135"/>
  <c r="D66" i="135"/>
  <c r="F66" i="135" s="1"/>
  <c r="E65" i="135"/>
  <c r="D65" i="135"/>
  <c r="E64" i="135"/>
  <c r="F64" i="135" s="1"/>
  <c r="D64" i="135"/>
  <c r="E63" i="135"/>
  <c r="D63" i="135"/>
  <c r="E70" i="134"/>
  <c r="D70" i="134"/>
  <c r="F70" i="134" s="1"/>
  <c r="E69" i="134"/>
  <c r="D69" i="134"/>
  <c r="E68" i="134"/>
  <c r="D68" i="134"/>
  <c r="E67" i="134"/>
  <c r="D67" i="134"/>
  <c r="E66" i="134"/>
  <c r="D66" i="134"/>
  <c r="F66" i="134" s="1"/>
  <c r="E65" i="134"/>
  <c r="D65" i="134"/>
  <c r="E64" i="134"/>
  <c r="D64" i="134"/>
  <c r="E63" i="134"/>
  <c r="D63" i="134"/>
  <c r="E70" i="133"/>
  <c r="D70" i="133"/>
  <c r="F70" i="133" s="1"/>
  <c r="E69" i="133"/>
  <c r="D69" i="133"/>
  <c r="E68" i="133"/>
  <c r="F68" i="133" s="1"/>
  <c r="D68" i="133"/>
  <c r="E67" i="133"/>
  <c r="D67" i="133"/>
  <c r="E66" i="133"/>
  <c r="D66" i="133"/>
  <c r="F66" i="133" s="1"/>
  <c r="E65" i="133"/>
  <c r="D65" i="133"/>
  <c r="E64" i="133"/>
  <c r="F64" i="133" s="1"/>
  <c r="D64" i="133"/>
  <c r="E63" i="133"/>
  <c r="D63" i="133"/>
  <c r="E70" i="132"/>
  <c r="D70" i="132"/>
  <c r="F70" i="132" s="1"/>
  <c r="E69" i="132"/>
  <c r="D69" i="132"/>
  <c r="E68" i="132"/>
  <c r="F68" i="132" s="1"/>
  <c r="D68" i="132"/>
  <c r="E67" i="132"/>
  <c r="D67" i="132"/>
  <c r="E66" i="132"/>
  <c r="D66" i="132"/>
  <c r="F66" i="132" s="1"/>
  <c r="E65" i="132"/>
  <c r="D65" i="132"/>
  <c r="E64" i="132"/>
  <c r="D64" i="132"/>
  <c r="E63" i="132"/>
  <c r="D63" i="132"/>
  <c r="E61" i="140"/>
  <c r="G61" i="140" s="1"/>
  <c r="E20" i="140"/>
  <c r="G20" i="140" s="1"/>
  <c r="E19" i="140"/>
  <c r="G19" i="140" s="1"/>
  <c r="E18" i="140"/>
  <c r="G18" i="140" s="1"/>
  <c r="E17" i="140"/>
  <c r="G17" i="140" s="1"/>
  <c r="E60" i="140"/>
  <c r="G60" i="140" s="1"/>
  <c r="E57" i="140"/>
  <c r="G57" i="140" s="1"/>
  <c r="E56" i="140"/>
  <c r="G56" i="140" s="1"/>
  <c r="E55" i="140"/>
  <c r="G55" i="140" s="1"/>
  <c r="E54" i="140"/>
  <c r="G54" i="140" s="1"/>
  <c r="E51" i="140"/>
  <c r="G51" i="140" s="1"/>
  <c r="E50" i="140"/>
  <c r="G50" i="140" s="1"/>
  <c r="E49" i="140"/>
  <c r="G49" i="140" s="1"/>
  <c r="E48" i="140"/>
  <c r="G48" i="140" s="1"/>
  <c r="E47" i="140"/>
  <c r="G47" i="140" s="1"/>
  <c r="E46" i="140"/>
  <c r="G46" i="140" s="1"/>
  <c r="E45" i="140"/>
  <c r="G45" i="140" s="1"/>
  <c r="E44" i="140"/>
  <c r="G44" i="140" s="1"/>
  <c r="E43" i="140"/>
  <c r="G43" i="140" s="1"/>
  <c r="E42" i="140"/>
  <c r="G42" i="140" s="1"/>
  <c r="E40" i="140"/>
  <c r="G40" i="140" s="1"/>
  <c r="E39" i="140"/>
  <c r="G39" i="140" s="1"/>
  <c r="E38" i="140"/>
  <c r="G38" i="140" s="1"/>
  <c r="E37" i="140"/>
  <c r="G37" i="140" s="1"/>
  <c r="E36" i="140"/>
  <c r="G36" i="140" s="1"/>
  <c r="E35" i="140"/>
  <c r="G35" i="140" s="1"/>
  <c r="E34" i="140"/>
  <c r="G34" i="140" s="1"/>
  <c r="E33" i="140"/>
  <c r="G33" i="140" s="1"/>
  <c r="E31" i="140"/>
  <c r="G31" i="140" s="1"/>
  <c r="E30" i="140"/>
  <c r="G30" i="140" s="1"/>
  <c r="E29" i="140"/>
  <c r="G29" i="140" s="1"/>
  <c r="E28" i="140"/>
  <c r="G28" i="140" s="1"/>
  <c r="E27" i="140"/>
  <c r="G27" i="140" s="1"/>
  <c r="E26" i="140"/>
  <c r="G26" i="140" s="1"/>
  <c r="E25" i="140"/>
  <c r="G25" i="140" s="1"/>
  <c r="E24" i="140"/>
  <c r="G24" i="140" s="1"/>
  <c r="E23" i="140"/>
  <c r="G23" i="140" s="1"/>
  <c r="E22" i="140"/>
  <c r="G22" i="140" s="1"/>
  <c r="E21" i="140"/>
  <c r="G21" i="140" s="1"/>
  <c r="E14" i="140"/>
  <c r="G14" i="140" s="1"/>
  <c r="E13" i="140"/>
  <c r="E12" i="140"/>
  <c r="E11" i="140"/>
  <c r="E10" i="140"/>
  <c r="E9" i="140"/>
  <c r="E61" i="139"/>
  <c r="G61" i="139" s="1"/>
  <c r="E20" i="139"/>
  <c r="G20" i="139" s="1"/>
  <c r="E19" i="139"/>
  <c r="G19" i="139" s="1"/>
  <c r="E18" i="139"/>
  <c r="G18" i="139" s="1"/>
  <c r="E17" i="139"/>
  <c r="G17" i="139" s="1"/>
  <c r="E60" i="139"/>
  <c r="G60" i="139" s="1"/>
  <c r="E57" i="139"/>
  <c r="G57" i="139" s="1"/>
  <c r="E56" i="139"/>
  <c r="G56" i="139" s="1"/>
  <c r="E55" i="139"/>
  <c r="G55" i="139" s="1"/>
  <c r="E54" i="139"/>
  <c r="G54" i="139" s="1"/>
  <c r="E51" i="139"/>
  <c r="G51" i="139" s="1"/>
  <c r="E50" i="139"/>
  <c r="G50" i="139" s="1"/>
  <c r="E49" i="139"/>
  <c r="G49" i="139" s="1"/>
  <c r="E48" i="139"/>
  <c r="G48" i="139" s="1"/>
  <c r="E47" i="139"/>
  <c r="G47" i="139" s="1"/>
  <c r="E46" i="139"/>
  <c r="G46" i="139" s="1"/>
  <c r="E45" i="139"/>
  <c r="G45" i="139" s="1"/>
  <c r="E44" i="139"/>
  <c r="G44" i="139" s="1"/>
  <c r="E43" i="139"/>
  <c r="G43" i="139" s="1"/>
  <c r="E42" i="139"/>
  <c r="G42" i="139" s="1"/>
  <c r="E40" i="139"/>
  <c r="G40" i="139" s="1"/>
  <c r="E39" i="139"/>
  <c r="G39" i="139" s="1"/>
  <c r="E38" i="139"/>
  <c r="G38" i="139" s="1"/>
  <c r="E37" i="139"/>
  <c r="G37" i="139" s="1"/>
  <c r="E36" i="139"/>
  <c r="G36" i="139" s="1"/>
  <c r="E35" i="139"/>
  <c r="G35" i="139" s="1"/>
  <c r="E34" i="139"/>
  <c r="G34" i="139" s="1"/>
  <c r="E33" i="139"/>
  <c r="G33" i="139" s="1"/>
  <c r="E31" i="139"/>
  <c r="G31" i="139" s="1"/>
  <c r="E30" i="139"/>
  <c r="G30" i="139" s="1"/>
  <c r="E29" i="139"/>
  <c r="G29" i="139" s="1"/>
  <c r="E28" i="139"/>
  <c r="G28" i="139" s="1"/>
  <c r="E27" i="139"/>
  <c r="G27" i="139" s="1"/>
  <c r="E26" i="139"/>
  <c r="G26" i="139" s="1"/>
  <c r="E25" i="139"/>
  <c r="G25" i="139" s="1"/>
  <c r="E24" i="139"/>
  <c r="G24" i="139" s="1"/>
  <c r="E23" i="139"/>
  <c r="G23" i="139" s="1"/>
  <c r="E22" i="139"/>
  <c r="G22" i="139" s="1"/>
  <c r="E21" i="139"/>
  <c r="G21" i="139" s="1"/>
  <c r="E14" i="139"/>
  <c r="G14" i="139" s="1"/>
  <c r="E16" i="139"/>
  <c r="G16" i="139" s="1"/>
  <c r="E13" i="139"/>
  <c r="E12" i="139"/>
  <c r="E11" i="139"/>
  <c r="E10" i="139"/>
  <c r="E9" i="139"/>
  <c r="E61" i="137"/>
  <c r="G61" i="137" s="1"/>
  <c r="E20" i="137"/>
  <c r="G20" i="137" s="1"/>
  <c r="E19" i="137"/>
  <c r="G19" i="137" s="1"/>
  <c r="E18" i="137"/>
  <c r="G18" i="137" s="1"/>
  <c r="E17" i="137"/>
  <c r="G17" i="137" s="1"/>
  <c r="E60" i="137"/>
  <c r="G60" i="137" s="1"/>
  <c r="E57" i="137"/>
  <c r="G57" i="137" s="1"/>
  <c r="E56" i="137"/>
  <c r="G56" i="137" s="1"/>
  <c r="E55" i="137"/>
  <c r="G55" i="137" s="1"/>
  <c r="E54" i="137"/>
  <c r="G54" i="137" s="1"/>
  <c r="E51" i="137"/>
  <c r="G51" i="137" s="1"/>
  <c r="E50" i="137"/>
  <c r="G50" i="137" s="1"/>
  <c r="E49" i="137"/>
  <c r="G49" i="137" s="1"/>
  <c r="E48" i="137"/>
  <c r="G48" i="137" s="1"/>
  <c r="E47" i="137"/>
  <c r="G47" i="137" s="1"/>
  <c r="E46" i="137"/>
  <c r="G46" i="137" s="1"/>
  <c r="E45" i="137"/>
  <c r="G45" i="137" s="1"/>
  <c r="E44" i="137"/>
  <c r="G44" i="137" s="1"/>
  <c r="E43" i="137"/>
  <c r="G43" i="137" s="1"/>
  <c r="E42" i="137"/>
  <c r="G42" i="137" s="1"/>
  <c r="E40" i="137"/>
  <c r="G40" i="137" s="1"/>
  <c r="E39" i="137"/>
  <c r="G39" i="137" s="1"/>
  <c r="E38" i="137"/>
  <c r="G38" i="137" s="1"/>
  <c r="E37" i="137"/>
  <c r="G37" i="137" s="1"/>
  <c r="E36" i="137"/>
  <c r="G36" i="137" s="1"/>
  <c r="E35" i="137"/>
  <c r="G35" i="137" s="1"/>
  <c r="E34" i="137"/>
  <c r="G34" i="137" s="1"/>
  <c r="E33" i="137"/>
  <c r="G33" i="137" s="1"/>
  <c r="E31" i="137"/>
  <c r="G31" i="137" s="1"/>
  <c r="E30" i="137"/>
  <c r="G30" i="137" s="1"/>
  <c r="E29" i="137"/>
  <c r="G29" i="137" s="1"/>
  <c r="E28" i="137"/>
  <c r="G28" i="137" s="1"/>
  <c r="E27" i="137"/>
  <c r="G27" i="137" s="1"/>
  <c r="E26" i="137"/>
  <c r="G26" i="137" s="1"/>
  <c r="E25" i="137"/>
  <c r="G25" i="137" s="1"/>
  <c r="E24" i="137"/>
  <c r="G24" i="137" s="1"/>
  <c r="E23" i="137"/>
  <c r="G23" i="137" s="1"/>
  <c r="E22" i="137"/>
  <c r="G22" i="137" s="1"/>
  <c r="E21" i="137"/>
  <c r="G21" i="137" s="1"/>
  <c r="E14" i="137"/>
  <c r="G14" i="137" s="1"/>
  <c r="E16" i="137"/>
  <c r="G16" i="137" s="1"/>
  <c r="E13" i="137"/>
  <c r="E12" i="137"/>
  <c r="E11" i="137"/>
  <c r="E10" i="137"/>
  <c r="E9" i="137"/>
  <c r="E61" i="138"/>
  <c r="G61" i="138" s="1"/>
  <c r="E20" i="138"/>
  <c r="G20" i="138" s="1"/>
  <c r="E19" i="138"/>
  <c r="G19" i="138" s="1"/>
  <c r="E18" i="138"/>
  <c r="G18" i="138" s="1"/>
  <c r="E17" i="138"/>
  <c r="G17" i="138" s="1"/>
  <c r="E60" i="138"/>
  <c r="G60" i="138" s="1"/>
  <c r="E57" i="138"/>
  <c r="G57" i="138" s="1"/>
  <c r="E56" i="138"/>
  <c r="G56" i="138" s="1"/>
  <c r="E55" i="138"/>
  <c r="G55" i="138" s="1"/>
  <c r="E54" i="138"/>
  <c r="G54" i="138" s="1"/>
  <c r="E51" i="138"/>
  <c r="G51" i="138" s="1"/>
  <c r="E50" i="138"/>
  <c r="G50" i="138" s="1"/>
  <c r="E49" i="138"/>
  <c r="G49" i="138" s="1"/>
  <c r="E48" i="138"/>
  <c r="G48" i="138" s="1"/>
  <c r="E47" i="138"/>
  <c r="G47" i="138" s="1"/>
  <c r="E46" i="138"/>
  <c r="G46" i="138" s="1"/>
  <c r="E45" i="138"/>
  <c r="G45" i="138" s="1"/>
  <c r="E44" i="138"/>
  <c r="G44" i="138" s="1"/>
  <c r="E43" i="138"/>
  <c r="G43" i="138" s="1"/>
  <c r="E42" i="138"/>
  <c r="G42" i="138" s="1"/>
  <c r="E40" i="138"/>
  <c r="G40" i="138" s="1"/>
  <c r="E39" i="138"/>
  <c r="G39" i="138" s="1"/>
  <c r="E38" i="138"/>
  <c r="G38" i="138" s="1"/>
  <c r="E37" i="138"/>
  <c r="G37" i="138" s="1"/>
  <c r="E36" i="138"/>
  <c r="G36" i="138" s="1"/>
  <c r="E35" i="138"/>
  <c r="G35" i="138" s="1"/>
  <c r="E34" i="138"/>
  <c r="G34" i="138" s="1"/>
  <c r="E33" i="138"/>
  <c r="G33" i="138" s="1"/>
  <c r="E31" i="138"/>
  <c r="G31" i="138" s="1"/>
  <c r="E30" i="138"/>
  <c r="G30" i="138" s="1"/>
  <c r="E29" i="138"/>
  <c r="G29" i="138" s="1"/>
  <c r="E28" i="138"/>
  <c r="G28" i="138" s="1"/>
  <c r="E27" i="138"/>
  <c r="G27" i="138" s="1"/>
  <c r="E26" i="138"/>
  <c r="G26" i="138" s="1"/>
  <c r="E25" i="138"/>
  <c r="G25" i="138" s="1"/>
  <c r="E24" i="138"/>
  <c r="G24" i="138" s="1"/>
  <c r="E23" i="138"/>
  <c r="G23" i="138" s="1"/>
  <c r="E22" i="138"/>
  <c r="G22" i="138" s="1"/>
  <c r="E21" i="138"/>
  <c r="G21" i="138" s="1"/>
  <c r="E14" i="138"/>
  <c r="G14" i="138" s="1"/>
  <c r="E16" i="138"/>
  <c r="G16" i="138" s="1"/>
  <c r="E13" i="138"/>
  <c r="E12" i="138"/>
  <c r="E11" i="138"/>
  <c r="E10" i="138"/>
  <c r="E9" i="138"/>
  <c r="E61" i="136"/>
  <c r="G61" i="136" s="1"/>
  <c r="E20" i="136"/>
  <c r="G20" i="136" s="1"/>
  <c r="E19" i="136"/>
  <c r="G19" i="136" s="1"/>
  <c r="E18" i="136"/>
  <c r="G18" i="136" s="1"/>
  <c r="E17" i="136"/>
  <c r="G17" i="136" s="1"/>
  <c r="E60" i="136"/>
  <c r="G60" i="136" s="1"/>
  <c r="E57" i="136"/>
  <c r="G57" i="136" s="1"/>
  <c r="E56" i="136"/>
  <c r="G56" i="136" s="1"/>
  <c r="E55" i="136"/>
  <c r="G55" i="136" s="1"/>
  <c r="E54" i="136"/>
  <c r="G54" i="136" s="1"/>
  <c r="E51" i="136"/>
  <c r="G51" i="136" s="1"/>
  <c r="E50" i="136"/>
  <c r="G50" i="136" s="1"/>
  <c r="E49" i="136"/>
  <c r="G49" i="136" s="1"/>
  <c r="E48" i="136"/>
  <c r="G48" i="136" s="1"/>
  <c r="E47" i="136"/>
  <c r="G47" i="136" s="1"/>
  <c r="E46" i="136"/>
  <c r="G46" i="136" s="1"/>
  <c r="E45" i="136"/>
  <c r="G45" i="136" s="1"/>
  <c r="E44" i="136"/>
  <c r="G44" i="136" s="1"/>
  <c r="E43" i="136"/>
  <c r="G43" i="136" s="1"/>
  <c r="E40" i="136"/>
  <c r="G40" i="136" s="1"/>
  <c r="E39" i="136"/>
  <c r="G39" i="136" s="1"/>
  <c r="E38" i="136"/>
  <c r="G38" i="136" s="1"/>
  <c r="E37" i="136"/>
  <c r="G37" i="136" s="1"/>
  <c r="E36" i="136"/>
  <c r="G36" i="136" s="1"/>
  <c r="E35" i="136"/>
  <c r="G35" i="136" s="1"/>
  <c r="E34" i="136"/>
  <c r="G34" i="136" s="1"/>
  <c r="E33" i="136"/>
  <c r="G33" i="136" s="1"/>
  <c r="E31" i="136"/>
  <c r="G31" i="136" s="1"/>
  <c r="E30" i="136"/>
  <c r="G30" i="136" s="1"/>
  <c r="E29" i="136"/>
  <c r="G29" i="136" s="1"/>
  <c r="E28" i="136"/>
  <c r="G28" i="136" s="1"/>
  <c r="E27" i="136"/>
  <c r="G27" i="136" s="1"/>
  <c r="E26" i="136"/>
  <c r="G26" i="136" s="1"/>
  <c r="E25" i="136"/>
  <c r="G25" i="136" s="1"/>
  <c r="E24" i="136"/>
  <c r="G24" i="136" s="1"/>
  <c r="E23" i="136"/>
  <c r="G23" i="136" s="1"/>
  <c r="E22" i="136"/>
  <c r="G22" i="136" s="1"/>
  <c r="E21" i="136"/>
  <c r="G21" i="136" s="1"/>
  <c r="E14" i="136"/>
  <c r="G14" i="136" s="1"/>
  <c r="E16" i="136"/>
  <c r="G16" i="136" s="1"/>
  <c r="E13" i="136"/>
  <c r="E12" i="136"/>
  <c r="E11" i="136"/>
  <c r="E10" i="136"/>
  <c r="E9" i="136"/>
  <c r="E61" i="135"/>
  <c r="G61" i="135" s="1"/>
  <c r="E20" i="135"/>
  <c r="G20" i="135" s="1"/>
  <c r="E19" i="135"/>
  <c r="G19" i="135" s="1"/>
  <c r="E18" i="135"/>
  <c r="G18" i="135" s="1"/>
  <c r="E17" i="135"/>
  <c r="G17" i="135" s="1"/>
  <c r="E60" i="135"/>
  <c r="G60" i="135" s="1"/>
  <c r="E57" i="135"/>
  <c r="G57" i="135" s="1"/>
  <c r="E56" i="135"/>
  <c r="G56" i="135" s="1"/>
  <c r="E55" i="135"/>
  <c r="G55" i="135" s="1"/>
  <c r="E54" i="135"/>
  <c r="G54" i="135" s="1"/>
  <c r="E51" i="135"/>
  <c r="G51" i="135" s="1"/>
  <c r="E50" i="135"/>
  <c r="G50" i="135" s="1"/>
  <c r="E49" i="135"/>
  <c r="G49" i="135" s="1"/>
  <c r="E48" i="135"/>
  <c r="G48" i="135" s="1"/>
  <c r="E47" i="135"/>
  <c r="G47" i="135" s="1"/>
  <c r="E46" i="135"/>
  <c r="G46" i="135" s="1"/>
  <c r="E45" i="135"/>
  <c r="G45" i="135" s="1"/>
  <c r="E44" i="135"/>
  <c r="G44" i="135" s="1"/>
  <c r="E43" i="135"/>
  <c r="G43" i="135" s="1"/>
  <c r="E42" i="135"/>
  <c r="G42" i="135" s="1"/>
  <c r="E40" i="135"/>
  <c r="G40" i="135" s="1"/>
  <c r="E39" i="135"/>
  <c r="G39" i="135" s="1"/>
  <c r="E38" i="135"/>
  <c r="G38" i="135" s="1"/>
  <c r="E37" i="135"/>
  <c r="G37" i="135" s="1"/>
  <c r="E36" i="135"/>
  <c r="G36" i="135" s="1"/>
  <c r="E35" i="135"/>
  <c r="G35" i="135" s="1"/>
  <c r="E34" i="135"/>
  <c r="G34" i="135" s="1"/>
  <c r="E33" i="135"/>
  <c r="G33" i="135" s="1"/>
  <c r="E31" i="135"/>
  <c r="G31" i="135" s="1"/>
  <c r="E30" i="135"/>
  <c r="G30" i="135" s="1"/>
  <c r="E29" i="135"/>
  <c r="G29" i="135" s="1"/>
  <c r="E28" i="135"/>
  <c r="G28" i="135" s="1"/>
  <c r="E27" i="135"/>
  <c r="G27" i="135" s="1"/>
  <c r="E26" i="135"/>
  <c r="G26" i="135" s="1"/>
  <c r="E25" i="135"/>
  <c r="G25" i="135" s="1"/>
  <c r="E24" i="135"/>
  <c r="G24" i="135" s="1"/>
  <c r="E23" i="135"/>
  <c r="G23" i="135" s="1"/>
  <c r="E22" i="135"/>
  <c r="G22" i="135" s="1"/>
  <c r="E21" i="135"/>
  <c r="G21" i="135" s="1"/>
  <c r="E14" i="135"/>
  <c r="G14" i="135" s="1"/>
  <c r="E16" i="135"/>
  <c r="G16" i="135" s="1"/>
  <c r="E13" i="135"/>
  <c r="E12" i="135"/>
  <c r="E11" i="135"/>
  <c r="E10" i="135"/>
  <c r="E9" i="135"/>
  <c r="E61" i="134"/>
  <c r="G61" i="134" s="1"/>
  <c r="E20" i="134"/>
  <c r="G20" i="134" s="1"/>
  <c r="E19" i="134"/>
  <c r="G19" i="134" s="1"/>
  <c r="E18" i="134"/>
  <c r="G18" i="134" s="1"/>
  <c r="E60" i="134"/>
  <c r="G60" i="134" s="1"/>
  <c r="E56" i="134"/>
  <c r="G56" i="134" s="1"/>
  <c r="E55" i="134"/>
  <c r="G55" i="134" s="1"/>
  <c r="E54" i="134"/>
  <c r="G54" i="134" s="1"/>
  <c r="E51" i="134"/>
  <c r="G51" i="134" s="1"/>
  <c r="E50" i="134"/>
  <c r="G50" i="134" s="1"/>
  <c r="E49" i="134"/>
  <c r="G49" i="134" s="1"/>
  <c r="E48" i="134"/>
  <c r="G48" i="134" s="1"/>
  <c r="E47" i="134"/>
  <c r="G47" i="134" s="1"/>
  <c r="E46" i="134"/>
  <c r="G46" i="134" s="1"/>
  <c r="E45" i="134"/>
  <c r="G45" i="134" s="1"/>
  <c r="E44" i="134"/>
  <c r="G44" i="134" s="1"/>
  <c r="E43" i="134"/>
  <c r="G43" i="134" s="1"/>
  <c r="E42" i="134"/>
  <c r="G42" i="134" s="1"/>
  <c r="E40" i="134"/>
  <c r="G40" i="134" s="1"/>
  <c r="E39" i="134"/>
  <c r="G39" i="134" s="1"/>
  <c r="E38" i="134"/>
  <c r="G38" i="134" s="1"/>
  <c r="E37" i="134"/>
  <c r="G37" i="134" s="1"/>
  <c r="E36" i="134"/>
  <c r="G36" i="134" s="1"/>
  <c r="E35" i="134"/>
  <c r="G35" i="134" s="1"/>
  <c r="E34" i="134"/>
  <c r="G34" i="134" s="1"/>
  <c r="E33" i="134"/>
  <c r="G33" i="134" s="1"/>
  <c r="E31" i="134"/>
  <c r="G31" i="134" s="1"/>
  <c r="E30" i="134"/>
  <c r="G30" i="134" s="1"/>
  <c r="E29" i="134"/>
  <c r="G29" i="134" s="1"/>
  <c r="E28" i="134"/>
  <c r="G28" i="134" s="1"/>
  <c r="E27" i="134"/>
  <c r="G27" i="134" s="1"/>
  <c r="E26" i="134"/>
  <c r="G26" i="134" s="1"/>
  <c r="E25" i="134"/>
  <c r="G25" i="134" s="1"/>
  <c r="E24" i="134"/>
  <c r="G24" i="134" s="1"/>
  <c r="E23" i="134"/>
  <c r="G23" i="134" s="1"/>
  <c r="E22" i="134"/>
  <c r="G22" i="134" s="1"/>
  <c r="E21" i="134"/>
  <c r="G21" i="134" s="1"/>
  <c r="E14" i="134"/>
  <c r="G14" i="134" s="1"/>
  <c r="E16" i="134"/>
  <c r="G16" i="134" s="1"/>
  <c r="E13" i="134"/>
  <c r="E12" i="134"/>
  <c r="E11" i="134"/>
  <c r="E10" i="134"/>
  <c r="E9" i="134"/>
  <c r="E61" i="133"/>
  <c r="G61" i="133" s="1"/>
  <c r="E20" i="133"/>
  <c r="G20" i="133" s="1"/>
  <c r="E19" i="133"/>
  <c r="G19" i="133" s="1"/>
  <c r="E18" i="133"/>
  <c r="G18" i="133" s="1"/>
  <c r="E17" i="133"/>
  <c r="G17" i="133" s="1"/>
  <c r="E60" i="133"/>
  <c r="G60" i="133" s="1"/>
  <c r="E57" i="133"/>
  <c r="G57" i="133" s="1"/>
  <c r="E56" i="133"/>
  <c r="G56" i="133" s="1"/>
  <c r="E55" i="133"/>
  <c r="G55" i="133" s="1"/>
  <c r="E54" i="133"/>
  <c r="G54" i="133" s="1"/>
  <c r="E51" i="133"/>
  <c r="G51" i="133" s="1"/>
  <c r="E50" i="133"/>
  <c r="G50" i="133" s="1"/>
  <c r="E49" i="133"/>
  <c r="G49" i="133" s="1"/>
  <c r="E48" i="133"/>
  <c r="G48" i="133" s="1"/>
  <c r="E47" i="133"/>
  <c r="G47" i="133" s="1"/>
  <c r="E46" i="133"/>
  <c r="G46" i="133" s="1"/>
  <c r="E45" i="133"/>
  <c r="G45" i="133" s="1"/>
  <c r="E44" i="133"/>
  <c r="G44" i="133" s="1"/>
  <c r="E43" i="133"/>
  <c r="G43" i="133" s="1"/>
  <c r="E42" i="133"/>
  <c r="G42" i="133" s="1"/>
  <c r="E40" i="133"/>
  <c r="G40" i="133" s="1"/>
  <c r="E39" i="133"/>
  <c r="G39" i="133" s="1"/>
  <c r="E38" i="133"/>
  <c r="G38" i="133" s="1"/>
  <c r="E37" i="133"/>
  <c r="G37" i="133" s="1"/>
  <c r="E36" i="133"/>
  <c r="G36" i="133" s="1"/>
  <c r="E35" i="133"/>
  <c r="G35" i="133" s="1"/>
  <c r="E34" i="133"/>
  <c r="G34" i="133" s="1"/>
  <c r="E33" i="133"/>
  <c r="G33" i="133" s="1"/>
  <c r="E31" i="133"/>
  <c r="G31" i="133" s="1"/>
  <c r="E30" i="133"/>
  <c r="G30" i="133" s="1"/>
  <c r="E29" i="133"/>
  <c r="G29" i="133" s="1"/>
  <c r="E28" i="133"/>
  <c r="G28" i="133" s="1"/>
  <c r="E27" i="133"/>
  <c r="G27" i="133" s="1"/>
  <c r="E26" i="133"/>
  <c r="G26" i="133" s="1"/>
  <c r="E25" i="133"/>
  <c r="G25" i="133" s="1"/>
  <c r="E24" i="133"/>
  <c r="G24" i="133" s="1"/>
  <c r="E23" i="133"/>
  <c r="G23" i="133" s="1"/>
  <c r="E22" i="133"/>
  <c r="G22" i="133" s="1"/>
  <c r="E21" i="133"/>
  <c r="G21" i="133" s="1"/>
  <c r="E14" i="133"/>
  <c r="G14" i="133" s="1"/>
  <c r="E16" i="133"/>
  <c r="G16" i="133" s="1"/>
  <c r="E13" i="133"/>
  <c r="E12" i="133"/>
  <c r="E11" i="133"/>
  <c r="E10" i="133"/>
  <c r="E9" i="133"/>
  <c r="E61" i="132"/>
  <c r="G61" i="132" s="1"/>
  <c r="E20" i="132"/>
  <c r="G20" i="132" s="1"/>
  <c r="E19" i="132"/>
  <c r="E18" i="132"/>
  <c r="G18" i="132" s="1"/>
  <c r="E17" i="132"/>
  <c r="G17" i="132" s="1"/>
  <c r="E60" i="132"/>
  <c r="G60" i="132" s="1"/>
  <c r="E57" i="132"/>
  <c r="G57" i="132" s="1"/>
  <c r="E56" i="132"/>
  <c r="G56" i="132" s="1"/>
  <c r="E55" i="132"/>
  <c r="G55" i="132" s="1"/>
  <c r="E54" i="132"/>
  <c r="E51" i="132"/>
  <c r="E50" i="132"/>
  <c r="G50" i="132" s="1"/>
  <c r="E49" i="132"/>
  <c r="G49" i="132" s="1"/>
  <c r="E48" i="132"/>
  <c r="G48" i="132" s="1"/>
  <c r="E47" i="132"/>
  <c r="G47" i="132" s="1"/>
  <c r="E46" i="132"/>
  <c r="G46" i="132" s="1"/>
  <c r="E45" i="132"/>
  <c r="G45" i="132" s="1"/>
  <c r="E44" i="132"/>
  <c r="E43" i="132"/>
  <c r="E42" i="132"/>
  <c r="G42" i="132" s="1"/>
  <c r="E40" i="132"/>
  <c r="G40" i="132" s="1"/>
  <c r="E39" i="132"/>
  <c r="G39" i="132" s="1"/>
  <c r="E38" i="132"/>
  <c r="G38" i="132" s="1"/>
  <c r="E37" i="132"/>
  <c r="G37" i="132" s="1"/>
  <c r="E36" i="132"/>
  <c r="G36" i="132" s="1"/>
  <c r="E35" i="132"/>
  <c r="E34" i="132"/>
  <c r="E33" i="132"/>
  <c r="G33" i="132" s="1"/>
  <c r="G32" i="132"/>
  <c r="E30" i="132"/>
  <c r="G30" i="132" s="1"/>
  <c r="E29" i="132"/>
  <c r="G29" i="132" s="1"/>
  <c r="E28" i="132"/>
  <c r="G28" i="132" s="1"/>
  <c r="E27" i="132"/>
  <c r="G27" i="132" s="1"/>
  <c r="E26" i="132"/>
  <c r="E25" i="132"/>
  <c r="E24" i="132"/>
  <c r="G24" i="132" s="1"/>
  <c r="E23" i="132"/>
  <c r="G23" i="132" s="1"/>
  <c r="E22" i="132"/>
  <c r="G22" i="132" s="1"/>
  <c r="E21" i="132"/>
  <c r="G21" i="132" s="1"/>
  <c r="E14" i="132"/>
  <c r="G14" i="132" s="1"/>
  <c r="E16" i="132"/>
  <c r="G16" i="132" s="1"/>
  <c r="E13" i="132"/>
  <c r="E12" i="132"/>
  <c r="E11" i="132"/>
  <c r="E10" i="132"/>
  <c r="E9" i="132"/>
  <c r="D8" i="113"/>
  <c r="C8" i="113"/>
  <c r="D4" i="113"/>
  <c r="C4" i="113"/>
  <c r="E8" i="98"/>
  <c r="D8" i="98"/>
  <c r="C8" i="98"/>
  <c r="C4" i="98"/>
  <c r="E22" i="118"/>
  <c r="G22" i="118" s="1"/>
  <c r="E8" i="140"/>
  <c r="D8" i="140"/>
  <c r="C8" i="140"/>
  <c r="E4" i="140"/>
  <c r="C21" i="145" s="1"/>
  <c r="C4" i="140"/>
  <c r="E8" i="139"/>
  <c r="D8" i="139"/>
  <c r="C8" i="139"/>
  <c r="E4" i="139"/>
  <c r="C4" i="139"/>
  <c r="E8" i="97"/>
  <c r="D8" i="97"/>
  <c r="C8" i="97"/>
  <c r="C4" i="97"/>
  <c r="E8" i="117"/>
  <c r="D8" i="117"/>
  <c r="C8" i="117"/>
  <c r="C4" i="117"/>
  <c r="E8" i="123"/>
  <c r="D8" i="123"/>
  <c r="F8" i="123" s="1"/>
  <c r="C8" i="123"/>
  <c r="C4" i="123"/>
  <c r="E8" i="137"/>
  <c r="D8" i="137"/>
  <c r="C8" i="137"/>
  <c r="E4" i="137"/>
  <c r="C4" i="137"/>
  <c r="E8" i="138"/>
  <c r="D8" i="138"/>
  <c r="C8" i="138"/>
  <c r="E4" i="138"/>
  <c r="D19" i="145" s="1"/>
  <c r="D4" i="138"/>
  <c r="C4" i="138"/>
  <c r="E8" i="96"/>
  <c r="D8" i="96"/>
  <c r="C8" i="96"/>
  <c r="D4" i="96"/>
  <c r="C4" i="96"/>
  <c r="E4" i="136"/>
  <c r="D4" i="136"/>
  <c r="C4" i="136"/>
  <c r="D4" i="99"/>
  <c r="C4" i="99"/>
  <c r="E8" i="91"/>
  <c r="D8" i="91"/>
  <c r="C8" i="91"/>
  <c r="C4" i="91"/>
  <c r="E8" i="124"/>
  <c r="D8" i="124"/>
  <c r="C8" i="124"/>
  <c r="C4" i="124"/>
  <c r="E8" i="135"/>
  <c r="D8" i="135"/>
  <c r="C8" i="135"/>
  <c r="E4" i="135"/>
  <c r="C4" i="135"/>
  <c r="E8" i="116"/>
  <c r="E8" i="134"/>
  <c r="D8" i="134"/>
  <c r="F8" i="134" s="1"/>
  <c r="C8" i="134"/>
  <c r="E4" i="134"/>
  <c r="C4" i="134"/>
  <c r="E8" i="133"/>
  <c r="D8" i="133"/>
  <c r="C8" i="133"/>
  <c r="E4" i="133"/>
  <c r="C4" i="133"/>
  <c r="E8" i="132"/>
  <c r="D8" i="132"/>
  <c r="C8" i="132"/>
  <c r="E4" i="132"/>
  <c r="C4" i="132"/>
  <c r="B6" i="130"/>
  <c r="B7" i="130"/>
  <c r="B8" i="130"/>
  <c r="B9" i="130"/>
  <c r="B10" i="130"/>
  <c r="B11" i="130"/>
  <c r="B12" i="130"/>
  <c r="B13" i="130"/>
  <c r="B14" i="130"/>
  <c r="B15" i="130"/>
  <c r="B16" i="130"/>
  <c r="B17" i="130"/>
  <c r="B18" i="130"/>
  <c r="B19" i="130"/>
  <c r="B20" i="130"/>
  <c r="B21" i="130"/>
  <c r="B22" i="130"/>
  <c r="B23" i="130"/>
  <c r="D9" i="140"/>
  <c r="D10" i="140"/>
  <c r="D11" i="140"/>
  <c r="D12" i="140"/>
  <c r="F12" i="140" s="1"/>
  <c r="D13" i="140"/>
  <c r="D14" i="140"/>
  <c r="D21" i="140"/>
  <c r="D22" i="140"/>
  <c r="D23" i="140"/>
  <c r="D24" i="140"/>
  <c r="F24" i="140" s="1"/>
  <c r="D25" i="140"/>
  <c r="D26" i="140"/>
  <c r="F26" i="140" s="1"/>
  <c r="D27" i="140"/>
  <c r="D28" i="140"/>
  <c r="D29" i="140"/>
  <c r="D30" i="140"/>
  <c r="D31" i="140"/>
  <c r="D33" i="140"/>
  <c r="F33" i="140" s="1"/>
  <c r="D34" i="140"/>
  <c r="D35" i="140"/>
  <c r="F35" i="140" s="1"/>
  <c r="D36" i="140"/>
  <c r="D37" i="140"/>
  <c r="D38" i="140"/>
  <c r="D39" i="140"/>
  <c r="D40" i="140"/>
  <c r="D42" i="140"/>
  <c r="F42" i="140" s="1"/>
  <c r="D43" i="140"/>
  <c r="D44" i="140"/>
  <c r="F44" i="140" s="1"/>
  <c r="D45" i="140"/>
  <c r="D46" i="140"/>
  <c r="D47" i="140"/>
  <c r="D48" i="140"/>
  <c r="D49" i="140"/>
  <c r="D50" i="140"/>
  <c r="F50" i="140" s="1"/>
  <c r="D51" i="140"/>
  <c r="D54" i="140"/>
  <c r="F54" i="140" s="1"/>
  <c r="D55" i="140"/>
  <c r="D56" i="140"/>
  <c r="D57" i="140"/>
  <c r="D60" i="140"/>
  <c r="D17" i="140"/>
  <c r="D18" i="140"/>
  <c r="F18" i="140" s="1"/>
  <c r="D19" i="140"/>
  <c r="D20" i="140"/>
  <c r="F20" i="140" s="1"/>
  <c r="D61" i="140"/>
  <c r="F63" i="140"/>
  <c r="F65" i="140"/>
  <c r="F67" i="140"/>
  <c r="D108" i="140"/>
  <c r="D109" i="140"/>
  <c r="E109" i="140"/>
  <c r="D111" i="140"/>
  <c r="D112" i="140"/>
  <c r="F115" i="140"/>
  <c r="D116" i="140"/>
  <c r="D110" i="140"/>
  <c r="D113" i="140"/>
  <c r="D117" i="140"/>
  <c r="E121" i="140"/>
  <c r="E122" i="140"/>
  <c r="E124" i="140"/>
  <c r="E126" i="140"/>
  <c r="E127" i="140"/>
  <c r="E129" i="140"/>
  <c r="E130" i="140"/>
  <c r="D133" i="140"/>
  <c r="D134" i="140"/>
  <c r="C134" i="140"/>
  <c r="B134" i="140"/>
  <c r="C133" i="140"/>
  <c r="B133" i="140"/>
  <c r="C132" i="140"/>
  <c r="B132" i="140"/>
  <c r="C131" i="140"/>
  <c r="C130" i="140"/>
  <c r="C129" i="140"/>
  <c r="C128" i="140"/>
  <c r="C127" i="140"/>
  <c r="C126" i="140"/>
  <c r="C125" i="140"/>
  <c r="C124" i="140"/>
  <c r="C123" i="140"/>
  <c r="C122" i="140"/>
  <c r="C121" i="140"/>
  <c r="C115" i="140"/>
  <c r="B115" i="140"/>
  <c r="B113" i="140"/>
  <c r="B112" i="140"/>
  <c r="B111" i="140"/>
  <c r="B110" i="140"/>
  <c r="B109" i="140"/>
  <c r="B108" i="140"/>
  <c r="B107" i="140"/>
  <c r="B106" i="140"/>
  <c r="B105" i="140"/>
  <c r="C70" i="140"/>
  <c r="B70" i="140"/>
  <c r="C69" i="140"/>
  <c r="B69" i="140"/>
  <c r="C68" i="140"/>
  <c r="B68" i="140"/>
  <c r="C67" i="140"/>
  <c r="B67" i="140"/>
  <c r="C66" i="140"/>
  <c r="B66" i="140"/>
  <c r="C65" i="140"/>
  <c r="B65" i="140"/>
  <c r="C64" i="140"/>
  <c r="B64" i="140"/>
  <c r="C63" i="140"/>
  <c r="B63" i="140"/>
  <c r="C61" i="140"/>
  <c r="B61" i="140"/>
  <c r="C20" i="140"/>
  <c r="B20" i="140"/>
  <c r="C19" i="140"/>
  <c r="B19" i="140"/>
  <c r="C18" i="140"/>
  <c r="B18" i="140"/>
  <c r="C17" i="140"/>
  <c r="B17" i="140"/>
  <c r="C60" i="140"/>
  <c r="B60" i="140"/>
  <c r="C57" i="140"/>
  <c r="B57" i="140"/>
  <c r="C56" i="140"/>
  <c r="B56" i="140"/>
  <c r="C55" i="140"/>
  <c r="B55" i="140"/>
  <c r="C54" i="140"/>
  <c r="B54" i="140"/>
  <c r="C51" i="140"/>
  <c r="B51" i="140"/>
  <c r="C50" i="140"/>
  <c r="B50" i="140"/>
  <c r="C49" i="140"/>
  <c r="B49" i="140"/>
  <c r="C48" i="140"/>
  <c r="B48" i="140"/>
  <c r="C47" i="140"/>
  <c r="B47" i="140"/>
  <c r="C46" i="140"/>
  <c r="B46" i="140"/>
  <c r="C45" i="140"/>
  <c r="B45" i="140"/>
  <c r="C44" i="140"/>
  <c r="B44" i="140"/>
  <c r="C43" i="140"/>
  <c r="B43" i="140"/>
  <c r="C42" i="140"/>
  <c r="B42" i="140"/>
  <c r="C40" i="140"/>
  <c r="B40" i="140"/>
  <c r="C39" i="140"/>
  <c r="B39" i="140"/>
  <c r="C38" i="140"/>
  <c r="B38" i="140"/>
  <c r="C37" i="140"/>
  <c r="B37" i="140"/>
  <c r="C36" i="140"/>
  <c r="B36" i="140"/>
  <c r="C35" i="140"/>
  <c r="B35" i="140"/>
  <c r="C34" i="140"/>
  <c r="B34" i="140"/>
  <c r="C33" i="140"/>
  <c r="B33" i="140"/>
  <c r="C31" i="140"/>
  <c r="B31" i="140"/>
  <c r="C30" i="140"/>
  <c r="B30" i="140"/>
  <c r="C29" i="140"/>
  <c r="B29" i="140"/>
  <c r="C28" i="140"/>
  <c r="B28" i="140"/>
  <c r="C27" i="140"/>
  <c r="B27" i="140"/>
  <c r="C26" i="140"/>
  <c r="B26" i="140"/>
  <c r="C25" i="140"/>
  <c r="B25" i="140"/>
  <c r="C24" i="140"/>
  <c r="B24" i="140"/>
  <c r="C23" i="140"/>
  <c r="B23" i="140"/>
  <c r="C22" i="140"/>
  <c r="B22" i="140"/>
  <c r="C21" i="140"/>
  <c r="B21" i="140"/>
  <c r="C14" i="140"/>
  <c r="C13" i="140"/>
  <c r="C12" i="140"/>
  <c r="C11" i="140"/>
  <c r="C10" i="140"/>
  <c r="C9" i="140"/>
  <c r="D9" i="139"/>
  <c r="D10" i="139"/>
  <c r="F10" i="139" s="1"/>
  <c r="D11" i="139"/>
  <c r="D12" i="139"/>
  <c r="F12" i="139" s="1"/>
  <c r="D13" i="139"/>
  <c r="D16" i="139"/>
  <c r="D14" i="139"/>
  <c r="D21" i="139"/>
  <c r="D22" i="139"/>
  <c r="D23" i="139"/>
  <c r="F23" i="139" s="1"/>
  <c r="D24" i="139"/>
  <c r="D25" i="139"/>
  <c r="F25" i="139" s="1"/>
  <c r="D26" i="139"/>
  <c r="D27" i="139"/>
  <c r="D28" i="139"/>
  <c r="D29" i="139"/>
  <c r="D30" i="139"/>
  <c r="D31" i="139"/>
  <c r="F31" i="139" s="1"/>
  <c r="D33" i="139"/>
  <c r="D34" i="139"/>
  <c r="F34" i="139" s="1"/>
  <c r="D35" i="139"/>
  <c r="D36" i="139"/>
  <c r="D37" i="139"/>
  <c r="D38" i="139"/>
  <c r="D39" i="139"/>
  <c r="D40" i="139"/>
  <c r="F40" i="139" s="1"/>
  <c r="D42" i="139"/>
  <c r="D43" i="139"/>
  <c r="F43" i="139" s="1"/>
  <c r="D44" i="139"/>
  <c r="D45" i="139"/>
  <c r="D46" i="139"/>
  <c r="D47" i="139"/>
  <c r="D48" i="139"/>
  <c r="D49" i="139"/>
  <c r="F49" i="139" s="1"/>
  <c r="D50" i="139"/>
  <c r="D51" i="139"/>
  <c r="F51" i="139" s="1"/>
  <c r="D54" i="139"/>
  <c r="D55" i="139"/>
  <c r="D56" i="139"/>
  <c r="D57" i="139"/>
  <c r="D60" i="139"/>
  <c r="D17" i="139"/>
  <c r="F17" i="139" s="1"/>
  <c r="D18" i="139"/>
  <c r="D19" i="139"/>
  <c r="F19" i="139" s="1"/>
  <c r="D20" i="139"/>
  <c r="D61" i="139"/>
  <c r="F63" i="139"/>
  <c r="F67" i="139"/>
  <c r="D108" i="139"/>
  <c r="D109" i="139"/>
  <c r="D111" i="139"/>
  <c r="D112" i="139"/>
  <c r="F115" i="139"/>
  <c r="D116" i="139"/>
  <c r="D110" i="139"/>
  <c r="D113" i="139"/>
  <c r="D117" i="139"/>
  <c r="E122" i="139"/>
  <c r="E123" i="139"/>
  <c r="E124" i="139"/>
  <c r="E125" i="139"/>
  <c r="E127" i="139"/>
  <c r="E130" i="139"/>
  <c r="D133" i="139"/>
  <c r="D134" i="139"/>
  <c r="C134" i="139"/>
  <c r="B134" i="139"/>
  <c r="C133" i="139"/>
  <c r="B133" i="139"/>
  <c r="C132" i="139"/>
  <c r="B132" i="139"/>
  <c r="C131" i="139"/>
  <c r="C130" i="139"/>
  <c r="C129" i="139"/>
  <c r="C128" i="139"/>
  <c r="C127" i="139"/>
  <c r="C126" i="139"/>
  <c r="C125" i="139"/>
  <c r="C124" i="139"/>
  <c r="C123" i="139"/>
  <c r="C122" i="139"/>
  <c r="C121" i="139"/>
  <c r="C115" i="139"/>
  <c r="B115" i="139"/>
  <c r="B113" i="139"/>
  <c r="B112" i="139"/>
  <c r="B111" i="139"/>
  <c r="B110" i="139"/>
  <c r="B109" i="139"/>
  <c r="B108" i="139"/>
  <c r="B107" i="139"/>
  <c r="B106" i="139"/>
  <c r="B105" i="139"/>
  <c r="C70" i="139"/>
  <c r="B70" i="139"/>
  <c r="C69" i="139"/>
  <c r="B69" i="139"/>
  <c r="C68" i="139"/>
  <c r="B68" i="139"/>
  <c r="C67" i="139"/>
  <c r="B67" i="139"/>
  <c r="C66" i="139"/>
  <c r="B66" i="139"/>
  <c r="C65" i="139"/>
  <c r="B65" i="139"/>
  <c r="C64" i="139"/>
  <c r="B64" i="139"/>
  <c r="C63" i="139"/>
  <c r="B63" i="139"/>
  <c r="C61" i="139"/>
  <c r="B61" i="139"/>
  <c r="C20" i="139"/>
  <c r="B20" i="139"/>
  <c r="C19" i="139"/>
  <c r="B19" i="139"/>
  <c r="C18" i="139"/>
  <c r="B18" i="139"/>
  <c r="C17" i="139"/>
  <c r="B17" i="139"/>
  <c r="C60" i="139"/>
  <c r="B60" i="139"/>
  <c r="C57" i="139"/>
  <c r="B57" i="139"/>
  <c r="C56" i="139"/>
  <c r="B56" i="139"/>
  <c r="C55" i="139"/>
  <c r="B55" i="139"/>
  <c r="C54" i="139"/>
  <c r="B54" i="139"/>
  <c r="C51" i="139"/>
  <c r="B51" i="139"/>
  <c r="C50" i="139"/>
  <c r="B50" i="139"/>
  <c r="C49" i="139"/>
  <c r="B49" i="139"/>
  <c r="C48" i="139"/>
  <c r="B48" i="139"/>
  <c r="C47" i="139"/>
  <c r="B47" i="139"/>
  <c r="C46" i="139"/>
  <c r="B46" i="139"/>
  <c r="C45" i="139"/>
  <c r="B45" i="139"/>
  <c r="C44" i="139"/>
  <c r="B44" i="139"/>
  <c r="C43" i="139"/>
  <c r="B43" i="139"/>
  <c r="C42" i="139"/>
  <c r="B42" i="139"/>
  <c r="C40" i="139"/>
  <c r="B40" i="139"/>
  <c r="C39" i="139"/>
  <c r="B39" i="139"/>
  <c r="C38" i="139"/>
  <c r="B38" i="139"/>
  <c r="C37" i="139"/>
  <c r="B37" i="139"/>
  <c r="C36" i="139"/>
  <c r="B36" i="139"/>
  <c r="C35" i="139"/>
  <c r="B35" i="139"/>
  <c r="C34" i="139"/>
  <c r="B34" i="139"/>
  <c r="C33" i="139"/>
  <c r="B33" i="139"/>
  <c r="C31" i="139"/>
  <c r="B31" i="139"/>
  <c r="C30" i="139"/>
  <c r="B30" i="139"/>
  <c r="C29" i="139"/>
  <c r="B29" i="139"/>
  <c r="C28" i="139"/>
  <c r="B28" i="139"/>
  <c r="C27" i="139"/>
  <c r="B27" i="139"/>
  <c r="C26" i="139"/>
  <c r="B26" i="139"/>
  <c r="C25" i="139"/>
  <c r="B25" i="139"/>
  <c r="C24" i="139"/>
  <c r="B24" i="139"/>
  <c r="C23" i="139"/>
  <c r="B23" i="139"/>
  <c r="C22" i="139"/>
  <c r="B22" i="139"/>
  <c r="C21" i="139"/>
  <c r="B21" i="139"/>
  <c r="C14" i="139"/>
  <c r="C16" i="139"/>
  <c r="B16" i="139"/>
  <c r="C13" i="139"/>
  <c r="C12" i="139"/>
  <c r="C11" i="139"/>
  <c r="C10" i="139"/>
  <c r="C9" i="139"/>
  <c r="D9" i="138"/>
  <c r="D10" i="138"/>
  <c r="D11" i="138"/>
  <c r="D12" i="138"/>
  <c r="D13" i="138"/>
  <c r="D16" i="138"/>
  <c r="D14" i="138"/>
  <c r="D21" i="138"/>
  <c r="F21" i="138" s="1"/>
  <c r="D22" i="138"/>
  <c r="D23" i="138"/>
  <c r="D24" i="138"/>
  <c r="D25" i="138"/>
  <c r="D26" i="138"/>
  <c r="D27" i="138"/>
  <c r="D28" i="138"/>
  <c r="D29" i="138"/>
  <c r="F29" i="138" s="1"/>
  <c r="D30" i="138"/>
  <c r="D31" i="138"/>
  <c r="D33" i="138"/>
  <c r="D34" i="138"/>
  <c r="D35" i="138"/>
  <c r="D36" i="138"/>
  <c r="D37" i="138"/>
  <c r="D38" i="138"/>
  <c r="F38" i="138" s="1"/>
  <c r="D39" i="138"/>
  <c r="D40" i="138"/>
  <c r="D42" i="138"/>
  <c r="D43" i="138"/>
  <c r="D44" i="138"/>
  <c r="D45" i="138"/>
  <c r="D46" i="138"/>
  <c r="D47" i="138"/>
  <c r="F47" i="138" s="1"/>
  <c r="D48" i="138"/>
  <c r="D49" i="138"/>
  <c r="D50" i="138"/>
  <c r="D51" i="138"/>
  <c r="D54" i="138"/>
  <c r="D55" i="138"/>
  <c r="D56" i="138"/>
  <c r="D57" i="138"/>
  <c r="F57" i="138" s="1"/>
  <c r="D60" i="138"/>
  <c r="D17" i="138"/>
  <c r="D18" i="138"/>
  <c r="D19" i="138"/>
  <c r="D20" i="138"/>
  <c r="D61" i="138"/>
  <c r="E105" i="138"/>
  <c r="E132" i="138" s="1"/>
  <c r="E106" i="138"/>
  <c r="D108" i="138"/>
  <c r="E108" i="138"/>
  <c r="E133" i="138" s="1"/>
  <c r="H133" i="138" s="1"/>
  <c r="D109" i="138"/>
  <c r="E109" i="138"/>
  <c r="D111" i="138"/>
  <c r="E111" i="138"/>
  <c r="D112" i="138"/>
  <c r="E112" i="138"/>
  <c r="E107" i="138"/>
  <c r="E110" i="138"/>
  <c r="E113" i="138"/>
  <c r="F115" i="138"/>
  <c r="D116" i="138"/>
  <c r="D110" i="138"/>
  <c r="D113" i="138"/>
  <c r="D117" i="138"/>
  <c r="E121" i="138"/>
  <c r="E122" i="138"/>
  <c r="E123" i="138"/>
  <c r="E127" i="138"/>
  <c r="E128" i="138"/>
  <c r="E130" i="138"/>
  <c r="E131" i="138"/>
  <c r="D133" i="138"/>
  <c r="D134" i="138"/>
  <c r="C134" i="138"/>
  <c r="B134" i="138"/>
  <c r="C133" i="138"/>
  <c r="B133" i="138"/>
  <c r="C132" i="138"/>
  <c r="B132" i="138"/>
  <c r="C131" i="138"/>
  <c r="C130" i="138"/>
  <c r="C129" i="138"/>
  <c r="C128" i="138"/>
  <c r="C127" i="138"/>
  <c r="C126" i="138"/>
  <c r="C125" i="138"/>
  <c r="C124" i="138"/>
  <c r="C123" i="138"/>
  <c r="C122" i="138"/>
  <c r="C121" i="138"/>
  <c r="C115" i="138"/>
  <c r="B115" i="138"/>
  <c r="B113" i="138"/>
  <c r="B112" i="138"/>
  <c r="B111" i="138"/>
  <c r="B110" i="138"/>
  <c r="B109" i="138"/>
  <c r="B108" i="138"/>
  <c r="B107" i="138"/>
  <c r="B106" i="138"/>
  <c r="B105" i="138"/>
  <c r="C70" i="138"/>
  <c r="B70" i="138"/>
  <c r="C69" i="138"/>
  <c r="B69" i="138"/>
  <c r="C68" i="138"/>
  <c r="B68" i="138"/>
  <c r="C67" i="138"/>
  <c r="B67" i="138"/>
  <c r="C66" i="138"/>
  <c r="B66" i="138"/>
  <c r="C65" i="138"/>
  <c r="B65" i="138"/>
  <c r="C64" i="138"/>
  <c r="B64" i="138"/>
  <c r="C63" i="138"/>
  <c r="B63" i="138"/>
  <c r="C61" i="138"/>
  <c r="B61" i="138"/>
  <c r="C20" i="138"/>
  <c r="B20" i="138"/>
  <c r="C19" i="138"/>
  <c r="B19" i="138"/>
  <c r="C18" i="138"/>
  <c r="B18" i="138"/>
  <c r="C17" i="138"/>
  <c r="B17" i="138"/>
  <c r="C60" i="138"/>
  <c r="B60" i="138"/>
  <c r="C57" i="138"/>
  <c r="B57" i="138"/>
  <c r="C56" i="138"/>
  <c r="B56" i="138"/>
  <c r="C55" i="138"/>
  <c r="B55" i="138"/>
  <c r="C54" i="138"/>
  <c r="B54" i="138"/>
  <c r="C51" i="138"/>
  <c r="B51" i="138"/>
  <c r="C50" i="138"/>
  <c r="B50" i="138"/>
  <c r="C49" i="138"/>
  <c r="B49" i="138"/>
  <c r="C48" i="138"/>
  <c r="B48" i="138"/>
  <c r="C47" i="138"/>
  <c r="B47" i="138"/>
  <c r="C46" i="138"/>
  <c r="B46" i="138"/>
  <c r="C45" i="138"/>
  <c r="B45" i="138"/>
  <c r="C44" i="138"/>
  <c r="B44" i="138"/>
  <c r="C43" i="138"/>
  <c r="B43" i="138"/>
  <c r="C42" i="138"/>
  <c r="B42" i="138"/>
  <c r="C40" i="138"/>
  <c r="B40" i="138"/>
  <c r="C39" i="138"/>
  <c r="B39" i="138"/>
  <c r="C38" i="138"/>
  <c r="B38" i="138"/>
  <c r="C37" i="138"/>
  <c r="B37" i="138"/>
  <c r="C36" i="138"/>
  <c r="B36" i="138"/>
  <c r="C35" i="138"/>
  <c r="B35" i="138"/>
  <c r="C34" i="138"/>
  <c r="B34" i="138"/>
  <c r="C33" i="138"/>
  <c r="B33" i="138"/>
  <c r="C31" i="138"/>
  <c r="B31" i="138"/>
  <c r="C30" i="138"/>
  <c r="B30" i="138"/>
  <c r="C29" i="138"/>
  <c r="B29" i="138"/>
  <c r="C28" i="138"/>
  <c r="B28" i="138"/>
  <c r="C27" i="138"/>
  <c r="B27" i="138"/>
  <c r="C26" i="138"/>
  <c r="B26" i="138"/>
  <c r="C25" i="138"/>
  <c r="B25" i="138"/>
  <c r="C24" i="138"/>
  <c r="B24" i="138"/>
  <c r="C23" i="138"/>
  <c r="B23" i="138"/>
  <c r="C22" i="138"/>
  <c r="B22" i="138"/>
  <c r="C21" i="138"/>
  <c r="B21" i="138"/>
  <c r="C14" i="138"/>
  <c r="C16" i="138"/>
  <c r="B16" i="138"/>
  <c r="C13" i="138"/>
  <c r="C12" i="138"/>
  <c r="C11" i="138"/>
  <c r="C10" i="138"/>
  <c r="C9" i="138"/>
  <c r="D9" i="137"/>
  <c r="D10" i="137"/>
  <c r="F10" i="137" s="1"/>
  <c r="D11" i="137"/>
  <c r="D12" i="137"/>
  <c r="D13" i="137"/>
  <c r="D16" i="137"/>
  <c r="D14" i="137"/>
  <c r="D21" i="137"/>
  <c r="D22" i="137"/>
  <c r="D23" i="137"/>
  <c r="F23" i="137" s="1"/>
  <c r="D24" i="137"/>
  <c r="D25" i="137"/>
  <c r="D26" i="137"/>
  <c r="D27" i="137"/>
  <c r="D28" i="137"/>
  <c r="D29" i="137"/>
  <c r="D30" i="137"/>
  <c r="D31" i="137"/>
  <c r="F31" i="137" s="1"/>
  <c r="D33" i="137"/>
  <c r="D34" i="137"/>
  <c r="D35" i="137"/>
  <c r="D36" i="137"/>
  <c r="D37" i="137"/>
  <c r="D38" i="137"/>
  <c r="D39" i="137"/>
  <c r="D40" i="137"/>
  <c r="F40" i="137" s="1"/>
  <c r="D42" i="137"/>
  <c r="D43" i="137"/>
  <c r="D44" i="137"/>
  <c r="D45" i="137"/>
  <c r="D46" i="137"/>
  <c r="D47" i="137"/>
  <c r="D48" i="137"/>
  <c r="D49" i="137"/>
  <c r="F49" i="137" s="1"/>
  <c r="D50" i="137"/>
  <c r="D51" i="137"/>
  <c r="D54" i="137"/>
  <c r="D55" i="137"/>
  <c r="D56" i="137"/>
  <c r="D57" i="137"/>
  <c r="D60" i="137"/>
  <c r="D17" i="137"/>
  <c r="F17" i="137" s="1"/>
  <c r="D18" i="137"/>
  <c r="D19" i="137"/>
  <c r="D20" i="137"/>
  <c r="D61" i="137"/>
  <c r="F63" i="137"/>
  <c r="F67" i="137"/>
  <c r="F69" i="137"/>
  <c r="E105" i="137"/>
  <c r="E106" i="137"/>
  <c r="D108" i="137"/>
  <c r="E108" i="137"/>
  <c r="D109" i="137"/>
  <c r="E109" i="137"/>
  <c r="D111" i="137"/>
  <c r="E111" i="137"/>
  <c r="D112" i="137"/>
  <c r="E112" i="137"/>
  <c r="E107" i="137"/>
  <c r="E110" i="137"/>
  <c r="E113" i="137"/>
  <c r="F115" i="137"/>
  <c r="D116" i="137"/>
  <c r="D110" i="137"/>
  <c r="D113" i="137"/>
  <c r="D117" i="137"/>
  <c r="E122" i="137"/>
  <c r="E125" i="137"/>
  <c r="E127" i="137"/>
  <c r="E128" i="137"/>
  <c r="E130" i="137"/>
  <c r="E134" i="137"/>
  <c r="I134" i="137" s="1"/>
  <c r="D133" i="137"/>
  <c r="D134" i="137"/>
  <c r="C134" i="137"/>
  <c r="B134" i="137"/>
  <c r="C133" i="137"/>
  <c r="B133" i="137"/>
  <c r="C132" i="137"/>
  <c r="B132" i="137"/>
  <c r="C131" i="137"/>
  <c r="C130" i="137"/>
  <c r="C129" i="137"/>
  <c r="C128" i="137"/>
  <c r="C127" i="137"/>
  <c r="C126" i="137"/>
  <c r="C125" i="137"/>
  <c r="C124" i="137"/>
  <c r="C123" i="137"/>
  <c r="C122" i="137"/>
  <c r="C121" i="137"/>
  <c r="C115" i="137"/>
  <c r="B115" i="137"/>
  <c r="B113" i="137"/>
  <c r="B112" i="137"/>
  <c r="B111" i="137"/>
  <c r="B110" i="137"/>
  <c r="B109" i="137"/>
  <c r="B108" i="137"/>
  <c r="B107" i="137"/>
  <c r="B106" i="137"/>
  <c r="B105" i="137"/>
  <c r="C70" i="137"/>
  <c r="B70" i="137"/>
  <c r="C69" i="137"/>
  <c r="B69" i="137"/>
  <c r="C68" i="137"/>
  <c r="B68" i="137"/>
  <c r="C67" i="137"/>
  <c r="B67" i="137"/>
  <c r="C66" i="137"/>
  <c r="B66" i="137"/>
  <c r="C65" i="137"/>
  <c r="B65" i="137"/>
  <c r="C64" i="137"/>
  <c r="B64" i="137"/>
  <c r="C63" i="137"/>
  <c r="B63" i="137"/>
  <c r="C61" i="137"/>
  <c r="B61" i="137"/>
  <c r="C20" i="137"/>
  <c r="B20" i="137"/>
  <c r="C19" i="137"/>
  <c r="B19" i="137"/>
  <c r="C18" i="137"/>
  <c r="B18" i="137"/>
  <c r="C17" i="137"/>
  <c r="B17" i="137"/>
  <c r="C60" i="137"/>
  <c r="B60" i="137"/>
  <c r="C57" i="137"/>
  <c r="B57" i="137"/>
  <c r="C56" i="137"/>
  <c r="B56" i="137"/>
  <c r="C55" i="137"/>
  <c r="B55" i="137"/>
  <c r="C54" i="137"/>
  <c r="B54" i="137"/>
  <c r="C51" i="137"/>
  <c r="B51" i="137"/>
  <c r="C50" i="137"/>
  <c r="B50" i="137"/>
  <c r="C49" i="137"/>
  <c r="B49" i="137"/>
  <c r="C48" i="137"/>
  <c r="B48" i="137"/>
  <c r="C47" i="137"/>
  <c r="B47" i="137"/>
  <c r="C46" i="137"/>
  <c r="B46" i="137"/>
  <c r="C45" i="137"/>
  <c r="B45" i="137"/>
  <c r="C44" i="137"/>
  <c r="B44" i="137"/>
  <c r="C43" i="137"/>
  <c r="B43" i="137"/>
  <c r="C42" i="137"/>
  <c r="B42" i="137"/>
  <c r="C40" i="137"/>
  <c r="B40" i="137"/>
  <c r="C39" i="137"/>
  <c r="B39" i="137"/>
  <c r="C38" i="137"/>
  <c r="B38" i="137"/>
  <c r="C37" i="137"/>
  <c r="B37" i="137"/>
  <c r="C36" i="137"/>
  <c r="B36" i="137"/>
  <c r="C35" i="137"/>
  <c r="B35" i="137"/>
  <c r="C34" i="137"/>
  <c r="B34" i="137"/>
  <c r="C33" i="137"/>
  <c r="B33" i="137"/>
  <c r="C31" i="137"/>
  <c r="B31" i="137"/>
  <c r="C30" i="137"/>
  <c r="B30" i="137"/>
  <c r="C29" i="137"/>
  <c r="B29" i="137"/>
  <c r="C28" i="137"/>
  <c r="B28" i="137"/>
  <c r="C27" i="137"/>
  <c r="B27" i="137"/>
  <c r="C26" i="137"/>
  <c r="B26" i="137"/>
  <c r="C25" i="137"/>
  <c r="B25" i="137"/>
  <c r="C24" i="137"/>
  <c r="B24" i="137"/>
  <c r="C23" i="137"/>
  <c r="B23" i="137"/>
  <c r="C22" i="137"/>
  <c r="B22" i="137"/>
  <c r="C21" i="137"/>
  <c r="B21" i="137"/>
  <c r="C14" i="137"/>
  <c r="C16" i="137"/>
  <c r="B16" i="137"/>
  <c r="C13" i="137"/>
  <c r="C12" i="137"/>
  <c r="C11" i="137"/>
  <c r="C10" i="137"/>
  <c r="C9" i="137"/>
  <c r="D9" i="136"/>
  <c r="D10" i="136"/>
  <c r="D11" i="136"/>
  <c r="D12" i="136"/>
  <c r="D13" i="136"/>
  <c r="F13" i="136" s="1"/>
  <c r="D16" i="136"/>
  <c r="F16" i="136" s="1"/>
  <c r="D14" i="136"/>
  <c r="D21" i="136"/>
  <c r="D22" i="136"/>
  <c r="D23" i="136"/>
  <c r="D24" i="136"/>
  <c r="D25" i="136"/>
  <c r="D26" i="136"/>
  <c r="F26" i="136" s="1"/>
  <c r="D27" i="136"/>
  <c r="F27" i="136" s="1"/>
  <c r="D28" i="136"/>
  <c r="D29" i="136"/>
  <c r="D30" i="136"/>
  <c r="D31" i="136"/>
  <c r="D33" i="136"/>
  <c r="D34" i="136"/>
  <c r="D35" i="136"/>
  <c r="F35" i="136" s="1"/>
  <c r="D36" i="136"/>
  <c r="F36" i="136" s="1"/>
  <c r="D37" i="136"/>
  <c r="D38" i="136"/>
  <c r="D39" i="136"/>
  <c r="D40" i="136"/>
  <c r="D43" i="136"/>
  <c r="D44" i="136"/>
  <c r="D45" i="136"/>
  <c r="F45" i="136" s="1"/>
  <c r="D46" i="136"/>
  <c r="D47" i="136"/>
  <c r="D48" i="136"/>
  <c r="D49" i="136"/>
  <c r="D50" i="136"/>
  <c r="D51" i="136"/>
  <c r="D54" i="136"/>
  <c r="D55" i="136"/>
  <c r="F55" i="136" s="1"/>
  <c r="D56" i="136"/>
  <c r="D57" i="136"/>
  <c r="D60" i="136"/>
  <c r="D17" i="136"/>
  <c r="D18" i="136"/>
  <c r="D19" i="136"/>
  <c r="D20" i="136"/>
  <c r="D61" i="136"/>
  <c r="F61" i="136" s="1"/>
  <c r="F63" i="136"/>
  <c r="F65" i="136"/>
  <c r="F67" i="136"/>
  <c r="F69" i="136"/>
  <c r="E105" i="136"/>
  <c r="E132" i="136" s="1"/>
  <c r="E106" i="136"/>
  <c r="D108" i="136"/>
  <c r="E108" i="136"/>
  <c r="D109" i="136"/>
  <c r="E109" i="136"/>
  <c r="D111" i="136"/>
  <c r="E111" i="136"/>
  <c r="D112" i="136"/>
  <c r="E112" i="136"/>
  <c r="E107" i="136"/>
  <c r="E110" i="136"/>
  <c r="E113" i="136"/>
  <c r="F115" i="136"/>
  <c r="D116" i="136"/>
  <c r="D110" i="136"/>
  <c r="D113" i="136"/>
  <c r="D117" i="136"/>
  <c r="E122" i="136"/>
  <c r="E123" i="136"/>
  <c r="E125" i="136"/>
  <c r="E126" i="136"/>
  <c r="E128" i="136"/>
  <c r="E130" i="136"/>
  <c r="E131" i="136"/>
  <c r="D133" i="136"/>
  <c r="D134" i="136"/>
  <c r="C134" i="136"/>
  <c r="B134" i="136"/>
  <c r="C133" i="136"/>
  <c r="B133" i="136"/>
  <c r="C132" i="136"/>
  <c r="B132" i="136"/>
  <c r="C131" i="136"/>
  <c r="C130" i="136"/>
  <c r="C129" i="136"/>
  <c r="C128" i="136"/>
  <c r="C127" i="136"/>
  <c r="C126" i="136"/>
  <c r="C125" i="136"/>
  <c r="C124" i="136"/>
  <c r="C123" i="136"/>
  <c r="C122" i="136"/>
  <c r="C121" i="136"/>
  <c r="C115" i="136"/>
  <c r="B115" i="136"/>
  <c r="B113" i="136"/>
  <c r="B112" i="136"/>
  <c r="B111" i="136"/>
  <c r="B110" i="136"/>
  <c r="B109" i="136"/>
  <c r="B108" i="136"/>
  <c r="B107" i="136"/>
  <c r="B106" i="136"/>
  <c r="B105" i="136"/>
  <c r="C70" i="136"/>
  <c r="B70" i="136"/>
  <c r="C69" i="136"/>
  <c r="B69" i="136"/>
  <c r="C68" i="136"/>
  <c r="B68" i="136"/>
  <c r="C67" i="136"/>
  <c r="B67" i="136"/>
  <c r="C66" i="136"/>
  <c r="B66" i="136"/>
  <c r="C65" i="136"/>
  <c r="B65" i="136"/>
  <c r="C64" i="136"/>
  <c r="B64" i="136"/>
  <c r="C63" i="136"/>
  <c r="B63" i="136"/>
  <c r="C61" i="136"/>
  <c r="B61" i="136"/>
  <c r="C20" i="136"/>
  <c r="B20" i="136"/>
  <c r="C19" i="136"/>
  <c r="B19" i="136"/>
  <c r="C18" i="136"/>
  <c r="B18" i="136"/>
  <c r="C17" i="136"/>
  <c r="B17" i="136"/>
  <c r="C60" i="136"/>
  <c r="B60" i="136"/>
  <c r="C57" i="136"/>
  <c r="B57" i="136"/>
  <c r="C56" i="136"/>
  <c r="B56" i="136"/>
  <c r="C55" i="136"/>
  <c r="B55" i="136"/>
  <c r="C54" i="136"/>
  <c r="B54" i="136"/>
  <c r="C51" i="136"/>
  <c r="B51" i="136"/>
  <c r="C50" i="136"/>
  <c r="B50" i="136"/>
  <c r="C49" i="136"/>
  <c r="B49" i="136"/>
  <c r="C48" i="136"/>
  <c r="B48" i="136"/>
  <c r="C47" i="136"/>
  <c r="B47" i="136"/>
  <c r="C46" i="136"/>
  <c r="B46" i="136"/>
  <c r="C45" i="136"/>
  <c r="B45" i="136"/>
  <c r="C44" i="136"/>
  <c r="B44" i="136"/>
  <c r="C43" i="136"/>
  <c r="B43" i="136"/>
  <c r="C40" i="136"/>
  <c r="B40" i="136"/>
  <c r="C39" i="136"/>
  <c r="B39" i="136"/>
  <c r="C38" i="136"/>
  <c r="B38" i="136"/>
  <c r="C37" i="136"/>
  <c r="B37" i="136"/>
  <c r="C36" i="136"/>
  <c r="B36" i="136"/>
  <c r="C35" i="136"/>
  <c r="B35" i="136"/>
  <c r="C34" i="136"/>
  <c r="B34" i="136"/>
  <c r="C33" i="136"/>
  <c r="B33" i="136"/>
  <c r="C31" i="136"/>
  <c r="B31" i="136"/>
  <c r="C30" i="136"/>
  <c r="B30" i="136"/>
  <c r="C29" i="136"/>
  <c r="B29" i="136"/>
  <c r="C28" i="136"/>
  <c r="B28" i="136"/>
  <c r="C27" i="136"/>
  <c r="B27" i="136"/>
  <c r="C26" i="136"/>
  <c r="B26" i="136"/>
  <c r="C25" i="136"/>
  <c r="B25" i="136"/>
  <c r="C24" i="136"/>
  <c r="B24" i="136"/>
  <c r="C23" i="136"/>
  <c r="B23" i="136"/>
  <c r="C22" i="136"/>
  <c r="B22" i="136"/>
  <c r="C21" i="136"/>
  <c r="B21" i="136"/>
  <c r="C14" i="136"/>
  <c r="C16" i="136"/>
  <c r="B16" i="136"/>
  <c r="C13" i="136"/>
  <c r="C12" i="136"/>
  <c r="C11" i="136"/>
  <c r="C10" i="136"/>
  <c r="C9" i="136"/>
  <c r="D9" i="135"/>
  <c r="D10" i="135"/>
  <c r="D11" i="135"/>
  <c r="D12" i="135"/>
  <c r="F12" i="135" s="1"/>
  <c r="D13" i="135"/>
  <c r="D16" i="135"/>
  <c r="D14" i="135"/>
  <c r="D21" i="135"/>
  <c r="D22" i="135"/>
  <c r="D23" i="135"/>
  <c r="D24" i="135"/>
  <c r="D25" i="135"/>
  <c r="F25" i="135" s="1"/>
  <c r="D26" i="135"/>
  <c r="D27" i="135"/>
  <c r="D28" i="135"/>
  <c r="D29" i="135"/>
  <c r="D30" i="135"/>
  <c r="D31" i="135"/>
  <c r="D33" i="135"/>
  <c r="D34" i="135"/>
  <c r="F34" i="135" s="1"/>
  <c r="D35" i="135"/>
  <c r="D36" i="135"/>
  <c r="D37" i="135"/>
  <c r="D38" i="135"/>
  <c r="D39" i="135"/>
  <c r="D40" i="135"/>
  <c r="D42" i="135"/>
  <c r="D43" i="135"/>
  <c r="F43" i="135" s="1"/>
  <c r="D44" i="135"/>
  <c r="D45" i="135"/>
  <c r="D46" i="135"/>
  <c r="D47" i="135"/>
  <c r="D48" i="135"/>
  <c r="D49" i="135"/>
  <c r="D50" i="135"/>
  <c r="D51" i="135"/>
  <c r="F51" i="135" s="1"/>
  <c r="D54" i="135"/>
  <c r="D55" i="135"/>
  <c r="D56" i="135"/>
  <c r="D57" i="135"/>
  <c r="D60" i="135"/>
  <c r="D17" i="135"/>
  <c r="D18" i="135"/>
  <c r="D19" i="135"/>
  <c r="F19" i="135" s="1"/>
  <c r="D20" i="135"/>
  <c r="D61" i="135"/>
  <c r="F63" i="135"/>
  <c r="F65" i="135"/>
  <c r="F67" i="135"/>
  <c r="F69" i="135"/>
  <c r="E105" i="135"/>
  <c r="E106" i="135"/>
  <c r="D108" i="135"/>
  <c r="E108" i="135"/>
  <c r="D109" i="135"/>
  <c r="E109" i="135"/>
  <c r="D111" i="135"/>
  <c r="E111" i="135"/>
  <c r="D112" i="135"/>
  <c r="E112" i="135"/>
  <c r="E107" i="135"/>
  <c r="E110" i="135"/>
  <c r="E113" i="135"/>
  <c r="F115" i="135"/>
  <c r="D116" i="135"/>
  <c r="D110" i="135"/>
  <c r="D113" i="135"/>
  <c r="D117" i="135"/>
  <c r="E121" i="135"/>
  <c r="E123" i="135"/>
  <c r="E124" i="135"/>
  <c r="E126" i="135"/>
  <c r="E128" i="135"/>
  <c r="E129" i="135"/>
  <c r="E131" i="135"/>
  <c r="E132" i="135"/>
  <c r="D133" i="135"/>
  <c r="D134" i="135"/>
  <c r="C134" i="135"/>
  <c r="B134" i="135"/>
  <c r="C133" i="135"/>
  <c r="B133" i="135"/>
  <c r="C132" i="135"/>
  <c r="B132" i="135"/>
  <c r="C131" i="135"/>
  <c r="C130" i="135"/>
  <c r="C129" i="135"/>
  <c r="C128" i="135"/>
  <c r="C127" i="135"/>
  <c r="C126" i="135"/>
  <c r="C125" i="135"/>
  <c r="C124" i="135"/>
  <c r="C123" i="135"/>
  <c r="C122" i="135"/>
  <c r="C121" i="135"/>
  <c r="C115" i="135"/>
  <c r="B115" i="135"/>
  <c r="B113" i="135"/>
  <c r="B112" i="135"/>
  <c r="B111" i="135"/>
  <c r="B110" i="135"/>
  <c r="B109" i="135"/>
  <c r="B108" i="135"/>
  <c r="B107" i="135"/>
  <c r="B106" i="135"/>
  <c r="B105" i="135"/>
  <c r="C70" i="135"/>
  <c r="B70" i="135"/>
  <c r="C69" i="135"/>
  <c r="B69" i="135"/>
  <c r="C68" i="135"/>
  <c r="B68" i="135"/>
  <c r="C67" i="135"/>
  <c r="B67" i="135"/>
  <c r="C66" i="135"/>
  <c r="B66" i="135"/>
  <c r="C65" i="135"/>
  <c r="B65" i="135"/>
  <c r="C64" i="135"/>
  <c r="B64" i="135"/>
  <c r="C63" i="135"/>
  <c r="B63" i="135"/>
  <c r="C61" i="135"/>
  <c r="B61" i="135"/>
  <c r="C20" i="135"/>
  <c r="B20" i="135"/>
  <c r="C19" i="135"/>
  <c r="B19" i="135"/>
  <c r="C18" i="135"/>
  <c r="B18" i="135"/>
  <c r="C17" i="135"/>
  <c r="B17" i="135"/>
  <c r="C60" i="135"/>
  <c r="B60" i="135"/>
  <c r="C57" i="135"/>
  <c r="B57" i="135"/>
  <c r="C56" i="135"/>
  <c r="B56" i="135"/>
  <c r="C55" i="135"/>
  <c r="B55" i="135"/>
  <c r="C54" i="135"/>
  <c r="B54" i="135"/>
  <c r="C51" i="135"/>
  <c r="B51" i="135"/>
  <c r="C50" i="135"/>
  <c r="B50" i="135"/>
  <c r="C49" i="135"/>
  <c r="B49" i="135"/>
  <c r="C48" i="135"/>
  <c r="B48" i="135"/>
  <c r="C47" i="135"/>
  <c r="B47" i="135"/>
  <c r="C46" i="135"/>
  <c r="B46" i="135"/>
  <c r="C45" i="135"/>
  <c r="B45" i="135"/>
  <c r="C44" i="135"/>
  <c r="B44" i="135"/>
  <c r="C43" i="135"/>
  <c r="B43" i="135"/>
  <c r="C42" i="135"/>
  <c r="B42" i="135"/>
  <c r="C40" i="135"/>
  <c r="B40" i="135"/>
  <c r="C39" i="135"/>
  <c r="B39" i="135"/>
  <c r="C38" i="135"/>
  <c r="B38" i="135"/>
  <c r="C37" i="135"/>
  <c r="B37" i="135"/>
  <c r="C36" i="135"/>
  <c r="B36" i="135"/>
  <c r="C35" i="135"/>
  <c r="B35" i="135"/>
  <c r="C34" i="135"/>
  <c r="B34" i="135"/>
  <c r="C33" i="135"/>
  <c r="B33" i="135"/>
  <c r="C31" i="135"/>
  <c r="B31" i="135"/>
  <c r="C30" i="135"/>
  <c r="B30" i="135"/>
  <c r="C29" i="135"/>
  <c r="B29" i="135"/>
  <c r="C28" i="135"/>
  <c r="B28" i="135"/>
  <c r="C27" i="135"/>
  <c r="B27" i="135"/>
  <c r="C26" i="135"/>
  <c r="B26" i="135"/>
  <c r="C25" i="135"/>
  <c r="B25" i="135"/>
  <c r="C24" i="135"/>
  <c r="B24" i="135"/>
  <c r="C23" i="135"/>
  <c r="B23" i="135"/>
  <c r="C22" i="135"/>
  <c r="B22" i="135"/>
  <c r="C21" i="135"/>
  <c r="B21" i="135"/>
  <c r="C14" i="135"/>
  <c r="C16" i="135"/>
  <c r="B16" i="135"/>
  <c r="C13" i="135"/>
  <c r="C12" i="135"/>
  <c r="C11" i="135"/>
  <c r="C10" i="135"/>
  <c r="C9" i="135"/>
  <c r="D9" i="134"/>
  <c r="F9" i="134" s="1"/>
  <c r="D10" i="134"/>
  <c r="D11" i="134"/>
  <c r="D12" i="134"/>
  <c r="D13" i="134"/>
  <c r="D16" i="134"/>
  <c r="D14" i="134"/>
  <c r="D21" i="134"/>
  <c r="D22" i="134"/>
  <c r="F22" i="134" s="1"/>
  <c r="D23" i="134"/>
  <c r="D24" i="134"/>
  <c r="D25" i="134"/>
  <c r="D26" i="134"/>
  <c r="D27" i="134"/>
  <c r="D28" i="134"/>
  <c r="D29" i="134"/>
  <c r="F29" i="134" s="1"/>
  <c r="D30" i="134"/>
  <c r="F30" i="134" s="1"/>
  <c r="D31" i="134"/>
  <c r="D33" i="134"/>
  <c r="D34" i="134"/>
  <c r="D35" i="134"/>
  <c r="D36" i="134"/>
  <c r="D37" i="134"/>
  <c r="D38" i="134"/>
  <c r="F38" i="134" s="1"/>
  <c r="D39" i="134"/>
  <c r="F39" i="134" s="1"/>
  <c r="D40" i="134"/>
  <c r="D42" i="134"/>
  <c r="D43" i="134"/>
  <c r="D44" i="134"/>
  <c r="D45" i="134"/>
  <c r="D46" i="134"/>
  <c r="D47" i="134"/>
  <c r="F47" i="134" s="1"/>
  <c r="D48" i="134"/>
  <c r="F48" i="134" s="1"/>
  <c r="D49" i="134"/>
  <c r="D50" i="134"/>
  <c r="D51" i="134"/>
  <c r="D54" i="134"/>
  <c r="D55" i="134"/>
  <c r="D56" i="134"/>
  <c r="D60" i="134"/>
  <c r="F60" i="134" s="1"/>
  <c r="D18" i="134"/>
  <c r="D19" i="134"/>
  <c r="D20" i="134"/>
  <c r="D61" i="134"/>
  <c r="E72" i="134"/>
  <c r="E73" i="134"/>
  <c r="E75" i="134"/>
  <c r="E76" i="134"/>
  <c r="E78" i="134"/>
  <c r="E123" i="134" s="1"/>
  <c r="E79" i="134"/>
  <c r="E81" i="134"/>
  <c r="E124" i="134" s="1"/>
  <c r="E82" i="134"/>
  <c r="E84" i="134"/>
  <c r="E125" i="134" s="1"/>
  <c r="E85" i="134"/>
  <c r="E87" i="134"/>
  <c r="E126" i="134" s="1"/>
  <c r="E88" i="134"/>
  <c r="E90" i="134"/>
  <c r="E127" i="134" s="1"/>
  <c r="E91" i="134"/>
  <c r="E93" i="134"/>
  <c r="E105" i="134" s="1"/>
  <c r="E132" i="134" s="1"/>
  <c r="E94" i="134"/>
  <c r="E96" i="134"/>
  <c r="E129" i="134" s="1"/>
  <c r="E97" i="134"/>
  <c r="E99" i="134"/>
  <c r="E130" i="134" s="1"/>
  <c r="E100" i="134"/>
  <c r="E102" i="134"/>
  <c r="E131" i="134" s="1"/>
  <c r="E103" i="134"/>
  <c r="D108" i="134"/>
  <c r="D109" i="134"/>
  <c r="D111" i="134"/>
  <c r="D112" i="134"/>
  <c r="E74" i="134"/>
  <c r="E77" i="134"/>
  <c r="E80" i="134"/>
  <c r="E83" i="134"/>
  <c r="E86" i="134"/>
  <c r="E89" i="134"/>
  <c r="E92" i="134"/>
  <c r="E95" i="134"/>
  <c r="E98" i="134"/>
  <c r="E101" i="134"/>
  <c r="E104" i="134"/>
  <c r="F115" i="134"/>
  <c r="D116" i="134"/>
  <c r="D110" i="134"/>
  <c r="D113" i="134"/>
  <c r="D117" i="134"/>
  <c r="D133" i="134"/>
  <c r="D134" i="134"/>
  <c r="C134" i="134"/>
  <c r="B134" i="134"/>
  <c r="C133" i="134"/>
  <c r="B133" i="134"/>
  <c r="C132" i="134"/>
  <c r="B132" i="134"/>
  <c r="C131" i="134"/>
  <c r="C130" i="134"/>
  <c r="C129" i="134"/>
  <c r="C128" i="134"/>
  <c r="C127" i="134"/>
  <c r="C126" i="134"/>
  <c r="C125" i="134"/>
  <c r="C124" i="134"/>
  <c r="C123" i="134"/>
  <c r="C122" i="134"/>
  <c r="C121" i="134"/>
  <c r="C115" i="134"/>
  <c r="B115" i="134"/>
  <c r="B113" i="134"/>
  <c r="B112" i="134"/>
  <c r="B111" i="134"/>
  <c r="B110" i="134"/>
  <c r="B109" i="134"/>
  <c r="B108" i="134"/>
  <c r="B107" i="134"/>
  <c r="B106" i="134"/>
  <c r="B105" i="134"/>
  <c r="C70" i="134"/>
  <c r="B70" i="134"/>
  <c r="C69" i="134"/>
  <c r="B69" i="134"/>
  <c r="C68" i="134"/>
  <c r="B68" i="134"/>
  <c r="C67" i="134"/>
  <c r="B67" i="134"/>
  <c r="C66" i="134"/>
  <c r="B66" i="134"/>
  <c r="C65" i="134"/>
  <c r="B65" i="134"/>
  <c r="C64" i="134"/>
  <c r="B64" i="134"/>
  <c r="C63" i="134"/>
  <c r="B63" i="134"/>
  <c r="C61" i="134"/>
  <c r="B61" i="134"/>
  <c r="C20" i="134"/>
  <c r="B20" i="134"/>
  <c r="C19" i="134"/>
  <c r="B19" i="134"/>
  <c r="C18" i="134"/>
  <c r="B18" i="134"/>
  <c r="C60" i="134"/>
  <c r="B60" i="134"/>
  <c r="C56" i="134"/>
  <c r="B56" i="134"/>
  <c r="C55" i="134"/>
  <c r="B55" i="134"/>
  <c r="C54" i="134"/>
  <c r="B54" i="134"/>
  <c r="C51" i="134"/>
  <c r="B51" i="134"/>
  <c r="C50" i="134"/>
  <c r="B50" i="134"/>
  <c r="C49" i="134"/>
  <c r="B49" i="134"/>
  <c r="C48" i="134"/>
  <c r="B48" i="134"/>
  <c r="C47" i="134"/>
  <c r="B47" i="134"/>
  <c r="C46" i="134"/>
  <c r="B46" i="134"/>
  <c r="C45" i="134"/>
  <c r="B45" i="134"/>
  <c r="C44" i="134"/>
  <c r="B44" i="134"/>
  <c r="C43" i="134"/>
  <c r="B43" i="134"/>
  <c r="C42" i="134"/>
  <c r="B42" i="134"/>
  <c r="C40" i="134"/>
  <c r="B40" i="134"/>
  <c r="C39" i="134"/>
  <c r="B39" i="134"/>
  <c r="C38" i="134"/>
  <c r="B38" i="134"/>
  <c r="C37" i="134"/>
  <c r="B37" i="134"/>
  <c r="C36" i="134"/>
  <c r="B36" i="134"/>
  <c r="C35" i="134"/>
  <c r="B35" i="134"/>
  <c r="C34" i="134"/>
  <c r="B34" i="134"/>
  <c r="C33" i="134"/>
  <c r="B33" i="134"/>
  <c r="C31" i="134"/>
  <c r="B31" i="134"/>
  <c r="C30" i="134"/>
  <c r="B30" i="134"/>
  <c r="C29" i="134"/>
  <c r="B29" i="134"/>
  <c r="C28" i="134"/>
  <c r="B28" i="134"/>
  <c r="C27" i="134"/>
  <c r="B27" i="134"/>
  <c r="C26" i="134"/>
  <c r="B26" i="134"/>
  <c r="C25" i="134"/>
  <c r="B25" i="134"/>
  <c r="C24" i="134"/>
  <c r="B24" i="134"/>
  <c r="C23" i="134"/>
  <c r="B23" i="134"/>
  <c r="C22" i="134"/>
  <c r="B22" i="134"/>
  <c r="C21" i="134"/>
  <c r="B21" i="134"/>
  <c r="C14" i="134"/>
  <c r="C16" i="134"/>
  <c r="B16" i="134"/>
  <c r="C13" i="134"/>
  <c r="C12" i="134"/>
  <c r="C11" i="134"/>
  <c r="C10" i="134"/>
  <c r="C9" i="134"/>
  <c r="D9" i="133"/>
  <c r="D10" i="133"/>
  <c r="D11" i="133"/>
  <c r="D12" i="133"/>
  <c r="D13" i="133"/>
  <c r="F13" i="133" s="1"/>
  <c r="D16" i="133"/>
  <c r="F16" i="133" s="1"/>
  <c r="D14" i="133"/>
  <c r="D21" i="133"/>
  <c r="D22" i="133"/>
  <c r="D23" i="133"/>
  <c r="D24" i="133"/>
  <c r="D25" i="133"/>
  <c r="D26" i="133"/>
  <c r="D27" i="133"/>
  <c r="F27" i="133" s="1"/>
  <c r="D28" i="133"/>
  <c r="D29" i="133"/>
  <c r="D30" i="133"/>
  <c r="D31" i="133"/>
  <c r="D33" i="133"/>
  <c r="D34" i="133"/>
  <c r="D35" i="133"/>
  <c r="D36" i="133"/>
  <c r="F36" i="133" s="1"/>
  <c r="D37" i="133"/>
  <c r="D38" i="133"/>
  <c r="D39" i="133"/>
  <c r="D40" i="133"/>
  <c r="D42" i="133"/>
  <c r="D43" i="133"/>
  <c r="D44" i="133"/>
  <c r="D45" i="133"/>
  <c r="F45" i="133" s="1"/>
  <c r="D46" i="133"/>
  <c r="D47" i="133"/>
  <c r="D48" i="133"/>
  <c r="D49" i="133"/>
  <c r="D50" i="133"/>
  <c r="D51" i="133"/>
  <c r="D54" i="133"/>
  <c r="D55" i="133"/>
  <c r="F55" i="133" s="1"/>
  <c r="D56" i="133"/>
  <c r="D57" i="133"/>
  <c r="D60" i="133"/>
  <c r="D17" i="133"/>
  <c r="D18" i="133"/>
  <c r="D19" i="133"/>
  <c r="D20" i="133"/>
  <c r="D61" i="133"/>
  <c r="F61" i="133" s="1"/>
  <c r="F65" i="133"/>
  <c r="F67" i="133"/>
  <c r="F69" i="133"/>
  <c r="D108" i="133"/>
  <c r="D109" i="133"/>
  <c r="D111" i="133"/>
  <c r="D112" i="133"/>
  <c r="E113" i="133"/>
  <c r="H113" i="133" s="1"/>
  <c r="F115" i="133"/>
  <c r="D116" i="133"/>
  <c r="D110" i="133"/>
  <c r="D113" i="133"/>
  <c r="D117" i="133"/>
  <c r="E121" i="133"/>
  <c r="E123" i="133"/>
  <c r="E124" i="133"/>
  <c r="E127" i="133"/>
  <c r="E129" i="133"/>
  <c r="E131" i="133"/>
  <c r="D133" i="133"/>
  <c r="D134" i="133"/>
  <c r="C134" i="133"/>
  <c r="B134" i="133"/>
  <c r="C133" i="133"/>
  <c r="B133" i="133"/>
  <c r="C132" i="133"/>
  <c r="B132" i="133"/>
  <c r="C131" i="133"/>
  <c r="C130" i="133"/>
  <c r="C129" i="133"/>
  <c r="C128" i="133"/>
  <c r="C127" i="133"/>
  <c r="C126" i="133"/>
  <c r="C125" i="133"/>
  <c r="C124" i="133"/>
  <c r="C123" i="133"/>
  <c r="C122" i="133"/>
  <c r="C121" i="133"/>
  <c r="C115" i="133"/>
  <c r="B115" i="133"/>
  <c r="B113" i="133"/>
  <c r="B112" i="133"/>
  <c r="B111" i="133"/>
  <c r="B110" i="133"/>
  <c r="B109" i="133"/>
  <c r="B108" i="133"/>
  <c r="B107" i="133"/>
  <c r="B106" i="133"/>
  <c r="B105" i="133"/>
  <c r="C70" i="133"/>
  <c r="B70" i="133"/>
  <c r="C69" i="133"/>
  <c r="B69" i="133"/>
  <c r="C68" i="133"/>
  <c r="B68" i="133"/>
  <c r="C67" i="133"/>
  <c r="B67" i="133"/>
  <c r="C66" i="133"/>
  <c r="B66" i="133"/>
  <c r="C65" i="133"/>
  <c r="B65" i="133"/>
  <c r="C64" i="133"/>
  <c r="B64" i="133"/>
  <c r="C63" i="133"/>
  <c r="B63" i="133"/>
  <c r="C61" i="133"/>
  <c r="B61" i="133"/>
  <c r="C20" i="133"/>
  <c r="B20" i="133"/>
  <c r="C19" i="133"/>
  <c r="B19" i="133"/>
  <c r="C18" i="133"/>
  <c r="B18" i="133"/>
  <c r="C17" i="133"/>
  <c r="B17" i="133"/>
  <c r="C60" i="133"/>
  <c r="B60" i="133"/>
  <c r="C57" i="133"/>
  <c r="B57" i="133"/>
  <c r="C56" i="133"/>
  <c r="B56" i="133"/>
  <c r="C55" i="133"/>
  <c r="B55" i="133"/>
  <c r="C54" i="133"/>
  <c r="B54" i="133"/>
  <c r="C51" i="133"/>
  <c r="B51" i="133"/>
  <c r="C50" i="133"/>
  <c r="B50" i="133"/>
  <c r="C49" i="133"/>
  <c r="B49" i="133"/>
  <c r="C48" i="133"/>
  <c r="B48" i="133"/>
  <c r="C47" i="133"/>
  <c r="B47" i="133"/>
  <c r="C46" i="133"/>
  <c r="B46" i="133"/>
  <c r="C45" i="133"/>
  <c r="B45" i="133"/>
  <c r="C44" i="133"/>
  <c r="B44" i="133"/>
  <c r="C43" i="133"/>
  <c r="B43" i="133"/>
  <c r="C42" i="133"/>
  <c r="B42" i="133"/>
  <c r="C40" i="133"/>
  <c r="B40" i="133"/>
  <c r="C39" i="133"/>
  <c r="B39" i="133"/>
  <c r="C38" i="133"/>
  <c r="B38" i="133"/>
  <c r="C37" i="133"/>
  <c r="B37" i="133"/>
  <c r="C36" i="133"/>
  <c r="B36" i="133"/>
  <c r="C35" i="133"/>
  <c r="B35" i="133"/>
  <c r="C34" i="133"/>
  <c r="B34" i="133"/>
  <c r="C33" i="133"/>
  <c r="B33" i="133"/>
  <c r="C31" i="133"/>
  <c r="B31" i="133"/>
  <c r="C30" i="133"/>
  <c r="B30" i="133"/>
  <c r="C29" i="133"/>
  <c r="B29" i="133"/>
  <c r="C28" i="133"/>
  <c r="B28" i="133"/>
  <c r="C27" i="133"/>
  <c r="B27" i="133"/>
  <c r="C26" i="133"/>
  <c r="B26" i="133"/>
  <c r="C25" i="133"/>
  <c r="B25" i="133"/>
  <c r="C24" i="133"/>
  <c r="B24" i="133"/>
  <c r="C23" i="133"/>
  <c r="B23" i="133"/>
  <c r="C22" i="133"/>
  <c r="B22" i="133"/>
  <c r="C21" i="133"/>
  <c r="B21" i="133"/>
  <c r="C14" i="133"/>
  <c r="C16" i="133"/>
  <c r="B16" i="133"/>
  <c r="C13" i="133"/>
  <c r="C12" i="133"/>
  <c r="C11" i="133"/>
  <c r="C10" i="133"/>
  <c r="C9" i="133"/>
  <c r="D9" i="132"/>
  <c r="D10" i="132"/>
  <c r="D11" i="132"/>
  <c r="D12" i="132"/>
  <c r="F12" i="132" s="1"/>
  <c r="D13" i="132"/>
  <c r="F13" i="132" s="1"/>
  <c r="D16" i="132"/>
  <c r="D14" i="132"/>
  <c r="D21" i="132"/>
  <c r="D22" i="132"/>
  <c r="D23" i="132"/>
  <c r="D24" i="132"/>
  <c r="D25" i="132"/>
  <c r="F25" i="132" s="1"/>
  <c r="D26" i="132"/>
  <c r="F26" i="132" s="1"/>
  <c r="D27" i="132"/>
  <c r="D28" i="132"/>
  <c r="D29" i="132"/>
  <c r="D30" i="132"/>
  <c r="D33" i="132"/>
  <c r="D34" i="132"/>
  <c r="F34" i="132" s="1"/>
  <c r="D35" i="132"/>
  <c r="F35" i="132" s="1"/>
  <c r="D36" i="132"/>
  <c r="D37" i="132"/>
  <c r="D38" i="132"/>
  <c r="D39" i="132"/>
  <c r="D40" i="132"/>
  <c r="D42" i="132"/>
  <c r="D43" i="132"/>
  <c r="F43" i="132" s="1"/>
  <c r="D44" i="132"/>
  <c r="F44" i="132" s="1"/>
  <c r="D45" i="132"/>
  <c r="D46" i="132"/>
  <c r="D47" i="132"/>
  <c r="D48" i="132"/>
  <c r="D49" i="132"/>
  <c r="D50" i="132"/>
  <c r="D51" i="132"/>
  <c r="F51" i="132" s="1"/>
  <c r="D54" i="132"/>
  <c r="F54" i="132" s="1"/>
  <c r="D55" i="132"/>
  <c r="D56" i="132"/>
  <c r="D57" i="132"/>
  <c r="D60" i="132"/>
  <c r="D17" i="132"/>
  <c r="D18" i="132"/>
  <c r="D19" i="132"/>
  <c r="F19" i="132" s="1"/>
  <c r="D20" i="132"/>
  <c r="F20" i="132" s="1"/>
  <c r="D61" i="132"/>
  <c r="F65" i="132"/>
  <c r="D108" i="132"/>
  <c r="D109" i="132"/>
  <c r="D111" i="132"/>
  <c r="D112" i="132"/>
  <c r="F115" i="132"/>
  <c r="D116" i="132"/>
  <c r="D110" i="132"/>
  <c r="D113" i="132"/>
  <c r="D117" i="132"/>
  <c r="E121" i="132"/>
  <c r="E123" i="132"/>
  <c r="E126" i="132"/>
  <c r="E127" i="132"/>
  <c r="E129" i="132"/>
  <c r="D133" i="132"/>
  <c r="D134" i="132"/>
  <c r="C134" i="132"/>
  <c r="B134" i="132"/>
  <c r="C133" i="132"/>
  <c r="B133" i="132"/>
  <c r="C132" i="132"/>
  <c r="B132" i="132"/>
  <c r="C131" i="132"/>
  <c r="C130" i="132"/>
  <c r="C129" i="132"/>
  <c r="C128" i="132"/>
  <c r="C127" i="132"/>
  <c r="C126" i="132"/>
  <c r="C125" i="132"/>
  <c r="C124" i="132"/>
  <c r="C123" i="132"/>
  <c r="C122" i="132"/>
  <c r="C121" i="132"/>
  <c r="C115" i="132"/>
  <c r="B115" i="132"/>
  <c r="B113" i="132"/>
  <c r="B112" i="132"/>
  <c r="B111" i="132"/>
  <c r="B110" i="132"/>
  <c r="B109" i="132"/>
  <c r="B108" i="132"/>
  <c r="B107" i="132"/>
  <c r="B106" i="132"/>
  <c r="B105" i="132"/>
  <c r="C70" i="132"/>
  <c r="B70" i="132"/>
  <c r="C69" i="132"/>
  <c r="B69" i="132"/>
  <c r="C68" i="132"/>
  <c r="B68" i="132"/>
  <c r="C67" i="132"/>
  <c r="B67" i="132"/>
  <c r="C66" i="132"/>
  <c r="B66" i="132"/>
  <c r="C65" i="132"/>
  <c r="B65" i="132"/>
  <c r="C64" i="132"/>
  <c r="B64" i="132"/>
  <c r="C63" i="132"/>
  <c r="B63" i="132"/>
  <c r="G25" i="132"/>
  <c r="G26" i="132"/>
  <c r="G34" i="132"/>
  <c r="G35" i="132"/>
  <c r="G43" i="132"/>
  <c r="G44" i="132"/>
  <c r="G51" i="132"/>
  <c r="G54" i="132"/>
  <c r="G19" i="132"/>
  <c r="C61" i="132"/>
  <c r="B61" i="132"/>
  <c r="C20" i="132"/>
  <c r="B20" i="132"/>
  <c r="C19" i="132"/>
  <c r="B19" i="132"/>
  <c r="C18" i="132"/>
  <c r="B18" i="132"/>
  <c r="C17" i="132"/>
  <c r="B17" i="132"/>
  <c r="C60" i="132"/>
  <c r="B60" i="132"/>
  <c r="C57" i="132"/>
  <c r="B57" i="132"/>
  <c r="C56" i="132"/>
  <c r="B56" i="132"/>
  <c r="C55" i="132"/>
  <c r="B55" i="132"/>
  <c r="C54" i="132"/>
  <c r="B54" i="132"/>
  <c r="C51" i="132"/>
  <c r="B51" i="132"/>
  <c r="C50" i="132"/>
  <c r="B50" i="132"/>
  <c r="C49" i="132"/>
  <c r="B49" i="132"/>
  <c r="C48" i="132"/>
  <c r="B48" i="132"/>
  <c r="C47" i="132"/>
  <c r="B47" i="132"/>
  <c r="C46" i="132"/>
  <c r="B46" i="132"/>
  <c r="C45" i="132"/>
  <c r="B45" i="132"/>
  <c r="C44" i="132"/>
  <c r="B44" i="132"/>
  <c r="C43" i="132"/>
  <c r="B43" i="132"/>
  <c r="C42" i="132"/>
  <c r="B42" i="132"/>
  <c r="C40" i="132"/>
  <c r="B40" i="132"/>
  <c r="C39" i="132"/>
  <c r="B39" i="132"/>
  <c r="C38" i="132"/>
  <c r="B38" i="132"/>
  <c r="C37" i="132"/>
  <c r="B37" i="132"/>
  <c r="C36" i="132"/>
  <c r="B36" i="132"/>
  <c r="C35" i="132"/>
  <c r="B35" i="132"/>
  <c r="C34" i="132"/>
  <c r="B34" i="132"/>
  <c r="C33" i="132"/>
  <c r="B33" i="132"/>
  <c r="C30" i="132"/>
  <c r="B30" i="132"/>
  <c r="C29" i="132"/>
  <c r="B29" i="132"/>
  <c r="C28" i="132"/>
  <c r="B28" i="132"/>
  <c r="C27" i="132"/>
  <c r="B27" i="132"/>
  <c r="C26" i="132"/>
  <c r="B26" i="132"/>
  <c r="C25" i="132"/>
  <c r="B25" i="132"/>
  <c r="C24" i="132"/>
  <c r="B24" i="132"/>
  <c r="C23" i="132"/>
  <c r="B23" i="132"/>
  <c r="C22" i="132"/>
  <c r="B22" i="132"/>
  <c r="C21" i="132"/>
  <c r="B21" i="132"/>
  <c r="C14" i="132"/>
  <c r="C16" i="132"/>
  <c r="B16" i="132"/>
  <c r="C13" i="132"/>
  <c r="C12" i="132"/>
  <c r="C11" i="132"/>
  <c r="C10" i="132"/>
  <c r="C9" i="132"/>
  <c r="Z3" i="50"/>
  <c r="T3" i="50"/>
  <c r="Y3" i="50"/>
  <c r="K3" i="50"/>
  <c r="R3" i="50"/>
  <c r="F3" i="50"/>
  <c r="E3" i="50"/>
  <c r="D3" i="50"/>
  <c r="O3" i="50"/>
  <c r="Y3" i="127"/>
  <c r="S3" i="127"/>
  <c r="X3" i="127"/>
  <c r="J3" i="127"/>
  <c r="Q3" i="127"/>
  <c r="E3" i="127"/>
  <c r="D3" i="127"/>
  <c r="C3" i="127"/>
  <c r="N3" i="127"/>
  <c r="O3" i="127"/>
  <c r="V3" i="127"/>
  <c r="G3" i="127"/>
  <c r="W3" i="127"/>
  <c r="R3" i="127"/>
  <c r="P3" i="127"/>
  <c r="H3" i="127"/>
  <c r="I3" i="127"/>
  <c r="U3" i="127"/>
  <c r="T3" i="127"/>
  <c r="F3" i="127"/>
  <c r="Z3" i="127"/>
  <c r="K3" i="127"/>
  <c r="L3" i="127"/>
  <c r="AB4" i="126"/>
  <c r="V4" i="126"/>
  <c r="AA4" i="126"/>
  <c r="M4" i="126"/>
  <c r="T4" i="126"/>
  <c r="H4" i="126"/>
  <c r="G4" i="126"/>
  <c r="F4" i="126"/>
  <c r="Q4" i="126"/>
  <c r="E61" i="119"/>
  <c r="G61" i="119" s="1"/>
  <c r="E20" i="119"/>
  <c r="G20" i="119" s="1"/>
  <c r="E19" i="119"/>
  <c r="G19" i="119" s="1"/>
  <c r="E18" i="119"/>
  <c r="G18" i="119" s="1"/>
  <c r="E17" i="119"/>
  <c r="G17" i="119" s="1"/>
  <c r="E60" i="119"/>
  <c r="G60" i="119" s="1"/>
  <c r="E57" i="119"/>
  <c r="G57" i="119" s="1"/>
  <c r="E56" i="119"/>
  <c r="G56" i="119" s="1"/>
  <c r="E55" i="119"/>
  <c r="G55" i="119" s="1"/>
  <c r="E54" i="119"/>
  <c r="G54" i="119" s="1"/>
  <c r="E51" i="119"/>
  <c r="G51" i="119" s="1"/>
  <c r="E50" i="119"/>
  <c r="G50" i="119" s="1"/>
  <c r="E49" i="119"/>
  <c r="G49" i="119" s="1"/>
  <c r="E48" i="119"/>
  <c r="G48" i="119" s="1"/>
  <c r="E47" i="119"/>
  <c r="G47" i="119" s="1"/>
  <c r="E46" i="119"/>
  <c r="G46" i="119" s="1"/>
  <c r="E45" i="119"/>
  <c r="G45" i="119" s="1"/>
  <c r="E44" i="119"/>
  <c r="G44" i="119" s="1"/>
  <c r="E43" i="119"/>
  <c r="G43" i="119" s="1"/>
  <c r="E40" i="119"/>
  <c r="G40" i="119" s="1"/>
  <c r="E39" i="119"/>
  <c r="G39" i="119" s="1"/>
  <c r="E38" i="119"/>
  <c r="G38" i="119" s="1"/>
  <c r="E37" i="119"/>
  <c r="G37" i="119" s="1"/>
  <c r="E36" i="119"/>
  <c r="G36" i="119" s="1"/>
  <c r="E35" i="119"/>
  <c r="G35" i="119" s="1"/>
  <c r="E34" i="119"/>
  <c r="G34" i="119" s="1"/>
  <c r="E33" i="119"/>
  <c r="G33" i="119" s="1"/>
  <c r="E31" i="119"/>
  <c r="G31" i="119" s="1"/>
  <c r="E30" i="119"/>
  <c r="G30" i="119" s="1"/>
  <c r="E29" i="119"/>
  <c r="G29" i="119" s="1"/>
  <c r="E28" i="119"/>
  <c r="G28" i="119" s="1"/>
  <c r="E27" i="119"/>
  <c r="G27" i="119" s="1"/>
  <c r="E26" i="119"/>
  <c r="G26" i="119" s="1"/>
  <c r="E25" i="119"/>
  <c r="G25" i="119" s="1"/>
  <c r="E24" i="119"/>
  <c r="G24" i="119" s="1"/>
  <c r="E23" i="119"/>
  <c r="G23" i="119" s="1"/>
  <c r="E22" i="119"/>
  <c r="G22" i="119" s="1"/>
  <c r="E21" i="119"/>
  <c r="G21" i="119" s="1"/>
  <c r="E14" i="119"/>
  <c r="G14" i="119" s="1"/>
  <c r="E16" i="119"/>
  <c r="G16" i="119" s="1"/>
  <c r="E13" i="119"/>
  <c r="E12" i="119"/>
  <c r="E11" i="119"/>
  <c r="E10" i="119"/>
  <c r="E9" i="119"/>
  <c r="HO24" i="94" s="1"/>
  <c r="E61" i="118"/>
  <c r="G61" i="118" s="1"/>
  <c r="E20" i="118"/>
  <c r="G20" i="118" s="1"/>
  <c r="E19" i="118"/>
  <c r="G19" i="118" s="1"/>
  <c r="E18" i="118"/>
  <c r="G18" i="118" s="1"/>
  <c r="E17" i="118"/>
  <c r="G17" i="118" s="1"/>
  <c r="E60" i="118"/>
  <c r="G60" i="118" s="1"/>
  <c r="E57" i="118"/>
  <c r="G57" i="118" s="1"/>
  <c r="E56" i="118"/>
  <c r="G56" i="118" s="1"/>
  <c r="E55" i="118"/>
  <c r="G55" i="118" s="1"/>
  <c r="E54" i="118"/>
  <c r="G54" i="118" s="1"/>
  <c r="E51" i="118"/>
  <c r="G51" i="118" s="1"/>
  <c r="E50" i="118"/>
  <c r="G50" i="118" s="1"/>
  <c r="E49" i="118"/>
  <c r="G49" i="118" s="1"/>
  <c r="E48" i="118"/>
  <c r="G48" i="118" s="1"/>
  <c r="E47" i="118"/>
  <c r="G47" i="118" s="1"/>
  <c r="E46" i="118"/>
  <c r="G46" i="118" s="1"/>
  <c r="E45" i="118"/>
  <c r="G45" i="118" s="1"/>
  <c r="E44" i="118"/>
  <c r="G44" i="118" s="1"/>
  <c r="E43" i="118"/>
  <c r="G43" i="118" s="1"/>
  <c r="E42" i="118"/>
  <c r="G42" i="118" s="1"/>
  <c r="E40" i="118"/>
  <c r="G40" i="118" s="1"/>
  <c r="E39" i="118"/>
  <c r="G39" i="118" s="1"/>
  <c r="E38" i="118"/>
  <c r="G38" i="118" s="1"/>
  <c r="E37" i="118"/>
  <c r="G37" i="118" s="1"/>
  <c r="E36" i="118"/>
  <c r="G36" i="118" s="1"/>
  <c r="E35" i="118"/>
  <c r="G35" i="118" s="1"/>
  <c r="E34" i="118"/>
  <c r="G34" i="118" s="1"/>
  <c r="E33" i="118"/>
  <c r="G33" i="118" s="1"/>
  <c r="E31" i="118"/>
  <c r="G31" i="118" s="1"/>
  <c r="E30" i="118"/>
  <c r="G30" i="118" s="1"/>
  <c r="E29" i="118"/>
  <c r="G29" i="118" s="1"/>
  <c r="E28" i="118"/>
  <c r="G28" i="118" s="1"/>
  <c r="E27" i="118"/>
  <c r="G27" i="118" s="1"/>
  <c r="E26" i="118"/>
  <c r="G26" i="118" s="1"/>
  <c r="E25" i="118"/>
  <c r="G25" i="118" s="1"/>
  <c r="E24" i="118"/>
  <c r="G24" i="118" s="1"/>
  <c r="E23" i="118"/>
  <c r="G23" i="118" s="1"/>
  <c r="E21" i="118"/>
  <c r="G21" i="118" s="1"/>
  <c r="E14" i="118"/>
  <c r="G14" i="118" s="1"/>
  <c r="E16" i="118"/>
  <c r="G16" i="118" s="1"/>
  <c r="E13" i="118"/>
  <c r="E12" i="118"/>
  <c r="E11" i="118"/>
  <c r="E10" i="118"/>
  <c r="E9" i="118"/>
  <c r="E61" i="98"/>
  <c r="G61" i="98" s="1"/>
  <c r="E20" i="98"/>
  <c r="G20" i="98" s="1"/>
  <c r="E19" i="98"/>
  <c r="G19" i="98" s="1"/>
  <c r="E18" i="98"/>
  <c r="G18" i="98" s="1"/>
  <c r="E17" i="98"/>
  <c r="G17" i="98" s="1"/>
  <c r="E60" i="98"/>
  <c r="G60" i="98" s="1"/>
  <c r="E57" i="98"/>
  <c r="G57" i="98" s="1"/>
  <c r="E56" i="98"/>
  <c r="G56" i="98" s="1"/>
  <c r="E55" i="98"/>
  <c r="G55" i="98" s="1"/>
  <c r="E54" i="98"/>
  <c r="G54" i="98" s="1"/>
  <c r="E51" i="98"/>
  <c r="G51" i="98" s="1"/>
  <c r="E50" i="98"/>
  <c r="G50" i="98" s="1"/>
  <c r="E49" i="98"/>
  <c r="G49" i="98" s="1"/>
  <c r="E48" i="98"/>
  <c r="G48" i="98" s="1"/>
  <c r="E47" i="98"/>
  <c r="G47" i="98" s="1"/>
  <c r="E46" i="98"/>
  <c r="G46" i="98" s="1"/>
  <c r="E45" i="98"/>
  <c r="G45" i="98" s="1"/>
  <c r="E44" i="98"/>
  <c r="G44" i="98" s="1"/>
  <c r="E43" i="98"/>
  <c r="G43" i="98" s="1"/>
  <c r="E42" i="98"/>
  <c r="G42" i="98" s="1"/>
  <c r="E40" i="98"/>
  <c r="G40" i="98" s="1"/>
  <c r="E39" i="98"/>
  <c r="G39" i="98" s="1"/>
  <c r="E38" i="98"/>
  <c r="G38" i="98" s="1"/>
  <c r="E37" i="98"/>
  <c r="G37" i="98" s="1"/>
  <c r="E36" i="98"/>
  <c r="G36" i="98" s="1"/>
  <c r="E35" i="98"/>
  <c r="G35" i="98" s="1"/>
  <c r="E34" i="98"/>
  <c r="G34" i="98" s="1"/>
  <c r="E33" i="98"/>
  <c r="G33" i="98" s="1"/>
  <c r="E31" i="98"/>
  <c r="G31" i="98" s="1"/>
  <c r="E30" i="98"/>
  <c r="G30" i="98" s="1"/>
  <c r="E29" i="98"/>
  <c r="G29" i="98" s="1"/>
  <c r="E28" i="98"/>
  <c r="G28" i="98" s="1"/>
  <c r="E27" i="98"/>
  <c r="G27" i="98" s="1"/>
  <c r="E26" i="98"/>
  <c r="G26" i="98" s="1"/>
  <c r="E25" i="98"/>
  <c r="G25" i="98" s="1"/>
  <c r="E24" i="98"/>
  <c r="G24" i="98" s="1"/>
  <c r="E23" i="98"/>
  <c r="G23" i="98" s="1"/>
  <c r="E22" i="98"/>
  <c r="G22" i="98" s="1"/>
  <c r="E21" i="98"/>
  <c r="G21" i="98" s="1"/>
  <c r="E14" i="98"/>
  <c r="G14" i="98" s="1"/>
  <c r="E16" i="98"/>
  <c r="G16" i="98" s="1"/>
  <c r="E13" i="98"/>
  <c r="E12" i="98"/>
  <c r="E11" i="98"/>
  <c r="E10" i="98"/>
  <c r="E9" i="98"/>
  <c r="E61" i="97"/>
  <c r="G61" i="97" s="1"/>
  <c r="E20" i="97"/>
  <c r="G20" i="97" s="1"/>
  <c r="E19" i="97"/>
  <c r="G19" i="97" s="1"/>
  <c r="E18" i="97"/>
  <c r="G18" i="97" s="1"/>
  <c r="E17" i="97"/>
  <c r="G17" i="97" s="1"/>
  <c r="E60" i="97"/>
  <c r="G60" i="97" s="1"/>
  <c r="E57" i="97"/>
  <c r="G57" i="97" s="1"/>
  <c r="E56" i="97"/>
  <c r="G56" i="97" s="1"/>
  <c r="E55" i="97"/>
  <c r="G55" i="97" s="1"/>
  <c r="E54" i="97"/>
  <c r="G54" i="97" s="1"/>
  <c r="E51" i="97"/>
  <c r="G51" i="97" s="1"/>
  <c r="E50" i="97"/>
  <c r="G50" i="97" s="1"/>
  <c r="E49" i="97"/>
  <c r="G49" i="97" s="1"/>
  <c r="E48" i="97"/>
  <c r="G48" i="97" s="1"/>
  <c r="E47" i="97"/>
  <c r="G47" i="97" s="1"/>
  <c r="E46" i="97"/>
  <c r="G46" i="97" s="1"/>
  <c r="E45" i="97"/>
  <c r="G45" i="97" s="1"/>
  <c r="E44" i="97"/>
  <c r="G44" i="97" s="1"/>
  <c r="E43" i="97"/>
  <c r="G43" i="97" s="1"/>
  <c r="E42" i="97"/>
  <c r="G42" i="97" s="1"/>
  <c r="E40" i="97"/>
  <c r="G40" i="97" s="1"/>
  <c r="E39" i="97"/>
  <c r="G39" i="97" s="1"/>
  <c r="E38" i="97"/>
  <c r="G38" i="97" s="1"/>
  <c r="E37" i="97"/>
  <c r="G37" i="97" s="1"/>
  <c r="E36" i="97"/>
  <c r="G36" i="97" s="1"/>
  <c r="E35" i="97"/>
  <c r="G35" i="97" s="1"/>
  <c r="E34" i="97"/>
  <c r="G34" i="97" s="1"/>
  <c r="E33" i="97"/>
  <c r="G33" i="97" s="1"/>
  <c r="E31" i="97"/>
  <c r="G31" i="97" s="1"/>
  <c r="E30" i="97"/>
  <c r="G30" i="97" s="1"/>
  <c r="E29" i="97"/>
  <c r="G29" i="97" s="1"/>
  <c r="E28" i="97"/>
  <c r="G28" i="97" s="1"/>
  <c r="E27" i="97"/>
  <c r="G27" i="97" s="1"/>
  <c r="E26" i="97"/>
  <c r="G26" i="97" s="1"/>
  <c r="E25" i="97"/>
  <c r="G25" i="97" s="1"/>
  <c r="E24" i="97"/>
  <c r="G24" i="97" s="1"/>
  <c r="E23" i="97"/>
  <c r="G23" i="97" s="1"/>
  <c r="E22" i="97"/>
  <c r="G22" i="97" s="1"/>
  <c r="E21" i="97"/>
  <c r="G21" i="97" s="1"/>
  <c r="E14" i="97"/>
  <c r="G14" i="97" s="1"/>
  <c r="E16" i="97"/>
  <c r="G16" i="97" s="1"/>
  <c r="E13" i="97"/>
  <c r="E12" i="97"/>
  <c r="E11" i="97"/>
  <c r="E10" i="97"/>
  <c r="E9" i="97"/>
  <c r="E61" i="117"/>
  <c r="G61" i="117" s="1"/>
  <c r="E20" i="117"/>
  <c r="G20" i="117" s="1"/>
  <c r="E19" i="117"/>
  <c r="G19" i="117" s="1"/>
  <c r="E18" i="117"/>
  <c r="G18" i="117" s="1"/>
  <c r="E17" i="117"/>
  <c r="G17" i="117" s="1"/>
  <c r="E60" i="117"/>
  <c r="G60" i="117" s="1"/>
  <c r="E57" i="117"/>
  <c r="G57" i="117" s="1"/>
  <c r="E56" i="117"/>
  <c r="G56" i="117" s="1"/>
  <c r="E55" i="117"/>
  <c r="G55" i="117" s="1"/>
  <c r="E54" i="117"/>
  <c r="G54" i="117" s="1"/>
  <c r="E51" i="117"/>
  <c r="G51" i="117" s="1"/>
  <c r="E50" i="117"/>
  <c r="G50" i="117" s="1"/>
  <c r="E49" i="117"/>
  <c r="G49" i="117" s="1"/>
  <c r="E48" i="117"/>
  <c r="G48" i="117" s="1"/>
  <c r="E47" i="117"/>
  <c r="G47" i="117" s="1"/>
  <c r="E46" i="117"/>
  <c r="G46" i="117" s="1"/>
  <c r="E45" i="117"/>
  <c r="G45" i="117" s="1"/>
  <c r="E44" i="117"/>
  <c r="G44" i="117" s="1"/>
  <c r="E43" i="117"/>
  <c r="G43" i="117" s="1"/>
  <c r="E42" i="117"/>
  <c r="G42" i="117" s="1"/>
  <c r="E40" i="117"/>
  <c r="G40" i="117" s="1"/>
  <c r="E39" i="117"/>
  <c r="G39" i="117" s="1"/>
  <c r="E38" i="117"/>
  <c r="G38" i="117" s="1"/>
  <c r="E37" i="117"/>
  <c r="G37" i="117" s="1"/>
  <c r="E36" i="117"/>
  <c r="G36" i="117" s="1"/>
  <c r="E35" i="117"/>
  <c r="G35" i="117" s="1"/>
  <c r="E34" i="117"/>
  <c r="G34" i="117" s="1"/>
  <c r="E33" i="117"/>
  <c r="G33" i="117" s="1"/>
  <c r="E31" i="117"/>
  <c r="G31" i="117" s="1"/>
  <c r="E30" i="117"/>
  <c r="G30" i="117" s="1"/>
  <c r="E29" i="117"/>
  <c r="G29" i="117" s="1"/>
  <c r="E28" i="117"/>
  <c r="G28" i="117" s="1"/>
  <c r="E27" i="117"/>
  <c r="G27" i="117" s="1"/>
  <c r="E26" i="117"/>
  <c r="G26" i="117" s="1"/>
  <c r="E25" i="117"/>
  <c r="G25" i="117" s="1"/>
  <c r="E24" i="117"/>
  <c r="G24" i="117" s="1"/>
  <c r="E23" i="117"/>
  <c r="G23" i="117" s="1"/>
  <c r="E22" i="117"/>
  <c r="G22" i="117" s="1"/>
  <c r="E21" i="117"/>
  <c r="G21" i="117" s="1"/>
  <c r="E14" i="117"/>
  <c r="G14" i="117" s="1"/>
  <c r="E16" i="117"/>
  <c r="G16" i="117" s="1"/>
  <c r="E13" i="117"/>
  <c r="E12" i="117"/>
  <c r="E11" i="117"/>
  <c r="E10" i="117"/>
  <c r="E9" i="117"/>
  <c r="E61" i="123"/>
  <c r="G61" i="123" s="1"/>
  <c r="E20" i="123"/>
  <c r="G20" i="123" s="1"/>
  <c r="E19" i="123"/>
  <c r="G19" i="123" s="1"/>
  <c r="E18" i="123"/>
  <c r="G18" i="123" s="1"/>
  <c r="E17" i="123"/>
  <c r="G17" i="123" s="1"/>
  <c r="E60" i="123"/>
  <c r="G60" i="123" s="1"/>
  <c r="E57" i="123"/>
  <c r="G57" i="123" s="1"/>
  <c r="E56" i="123"/>
  <c r="G56" i="123" s="1"/>
  <c r="E55" i="123"/>
  <c r="G55" i="123" s="1"/>
  <c r="E54" i="123"/>
  <c r="G54" i="123" s="1"/>
  <c r="E51" i="123"/>
  <c r="G51" i="123" s="1"/>
  <c r="E50" i="123"/>
  <c r="G50" i="123" s="1"/>
  <c r="E49" i="123"/>
  <c r="G49" i="123" s="1"/>
  <c r="E48" i="123"/>
  <c r="G48" i="123" s="1"/>
  <c r="E47" i="123"/>
  <c r="G47" i="123" s="1"/>
  <c r="E46" i="123"/>
  <c r="G46" i="123" s="1"/>
  <c r="E45" i="123"/>
  <c r="G45" i="123" s="1"/>
  <c r="E44" i="123"/>
  <c r="G44" i="123" s="1"/>
  <c r="E43" i="123"/>
  <c r="G43" i="123" s="1"/>
  <c r="E42" i="123"/>
  <c r="G42" i="123" s="1"/>
  <c r="E40" i="123"/>
  <c r="G40" i="123" s="1"/>
  <c r="E39" i="123"/>
  <c r="G39" i="123" s="1"/>
  <c r="E38" i="123"/>
  <c r="G38" i="123" s="1"/>
  <c r="E37" i="123"/>
  <c r="G37" i="123" s="1"/>
  <c r="E36" i="123"/>
  <c r="G36" i="123" s="1"/>
  <c r="E35" i="123"/>
  <c r="G35" i="123" s="1"/>
  <c r="E34" i="123"/>
  <c r="G34" i="123" s="1"/>
  <c r="E33" i="123"/>
  <c r="G33" i="123" s="1"/>
  <c r="E31" i="123"/>
  <c r="G31" i="123" s="1"/>
  <c r="E30" i="123"/>
  <c r="G30" i="123" s="1"/>
  <c r="E29" i="123"/>
  <c r="G29" i="123" s="1"/>
  <c r="E28" i="123"/>
  <c r="G28" i="123" s="1"/>
  <c r="E27" i="123"/>
  <c r="G27" i="123" s="1"/>
  <c r="E26" i="123"/>
  <c r="G26" i="123" s="1"/>
  <c r="E25" i="123"/>
  <c r="G25" i="123" s="1"/>
  <c r="E24" i="123"/>
  <c r="G24" i="123" s="1"/>
  <c r="E23" i="123"/>
  <c r="G23" i="123" s="1"/>
  <c r="E22" i="123"/>
  <c r="G22" i="123" s="1"/>
  <c r="E21" i="123"/>
  <c r="G21" i="123" s="1"/>
  <c r="E14" i="123"/>
  <c r="G14" i="123" s="1"/>
  <c r="E16" i="123"/>
  <c r="G16" i="123" s="1"/>
  <c r="E13" i="123"/>
  <c r="E12" i="123"/>
  <c r="E11" i="123"/>
  <c r="E10" i="123"/>
  <c r="E9" i="123"/>
  <c r="E61" i="96"/>
  <c r="G61" i="96" s="1"/>
  <c r="E20" i="96"/>
  <c r="G20" i="96" s="1"/>
  <c r="E19" i="96"/>
  <c r="G19" i="96" s="1"/>
  <c r="E18" i="96"/>
  <c r="G18" i="96" s="1"/>
  <c r="E17" i="96"/>
  <c r="G17" i="96" s="1"/>
  <c r="E60" i="96"/>
  <c r="G60" i="96" s="1"/>
  <c r="E57" i="96"/>
  <c r="G57" i="96" s="1"/>
  <c r="E56" i="96"/>
  <c r="G56" i="96" s="1"/>
  <c r="E55" i="96"/>
  <c r="G55" i="96" s="1"/>
  <c r="E54" i="96"/>
  <c r="G54" i="96" s="1"/>
  <c r="E51" i="96"/>
  <c r="G51" i="96" s="1"/>
  <c r="E50" i="96"/>
  <c r="G50" i="96" s="1"/>
  <c r="E49" i="96"/>
  <c r="G49" i="96" s="1"/>
  <c r="E48" i="96"/>
  <c r="G48" i="96" s="1"/>
  <c r="E47" i="96"/>
  <c r="G47" i="96" s="1"/>
  <c r="E46" i="96"/>
  <c r="G46" i="96" s="1"/>
  <c r="E45" i="96"/>
  <c r="G45" i="96" s="1"/>
  <c r="E44" i="96"/>
  <c r="G44" i="96" s="1"/>
  <c r="E43" i="96"/>
  <c r="G43" i="96" s="1"/>
  <c r="E42" i="96"/>
  <c r="G42" i="96" s="1"/>
  <c r="E40" i="96"/>
  <c r="G40" i="96" s="1"/>
  <c r="E39" i="96"/>
  <c r="G39" i="96" s="1"/>
  <c r="E38" i="96"/>
  <c r="G38" i="96" s="1"/>
  <c r="E37" i="96"/>
  <c r="G37" i="96" s="1"/>
  <c r="E36" i="96"/>
  <c r="G36" i="96" s="1"/>
  <c r="E35" i="96"/>
  <c r="G35" i="96" s="1"/>
  <c r="E34" i="96"/>
  <c r="G34" i="96" s="1"/>
  <c r="E33" i="96"/>
  <c r="G33" i="96" s="1"/>
  <c r="E31" i="96"/>
  <c r="G31" i="96" s="1"/>
  <c r="E30" i="96"/>
  <c r="G30" i="96" s="1"/>
  <c r="E29" i="96"/>
  <c r="G29" i="96" s="1"/>
  <c r="E28" i="96"/>
  <c r="G28" i="96" s="1"/>
  <c r="E27" i="96"/>
  <c r="G27" i="96" s="1"/>
  <c r="E26" i="96"/>
  <c r="G26" i="96" s="1"/>
  <c r="E25" i="96"/>
  <c r="G25" i="96" s="1"/>
  <c r="E24" i="96"/>
  <c r="G24" i="96" s="1"/>
  <c r="E23" i="96"/>
  <c r="G23" i="96" s="1"/>
  <c r="E22" i="96"/>
  <c r="G22" i="96" s="1"/>
  <c r="E21" i="96"/>
  <c r="G21" i="96" s="1"/>
  <c r="E14" i="96"/>
  <c r="G14" i="96" s="1"/>
  <c r="E16" i="96"/>
  <c r="G16" i="96" s="1"/>
  <c r="E13" i="96"/>
  <c r="E12" i="96"/>
  <c r="E11" i="96"/>
  <c r="E10" i="96"/>
  <c r="E9" i="96"/>
  <c r="HK26" i="94" s="1"/>
  <c r="E61" i="91"/>
  <c r="G61" i="91" s="1"/>
  <c r="E20" i="91"/>
  <c r="G20" i="91" s="1"/>
  <c r="E19" i="91"/>
  <c r="G19" i="91" s="1"/>
  <c r="E18" i="91"/>
  <c r="G18" i="91" s="1"/>
  <c r="E17" i="91"/>
  <c r="G17" i="91" s="1"/>
  <c r="E60" i="91"/>
  <c r="G60" i="91" s="1"/>
  <c r="E57" i="91"/>
  <c r="G57" i="91" s="1"/>
  <c r="E56" i="91"/>
  <c r="G56" i="91" s="1"/>
  <c r="E55" i="91"/>
  <c r="G55" i="91" s="1"/>
  <c r="E54" i="91"/>
  <c r="G54" i="91" s="1"/>
  <c r="E51" i="91"/>
  <c r="G51" i="91" s="1"/>
  <c r="E50" i="91"/>
  <c r="G50" i="91" s="1"/>
  <c r="E49" i="91"/>
  <c r="G49" i="91" s="1"/>
  <c r="E48" i="91"/>
  <c r="G48" i="91" s="1"/>
  <c r="E47" i="91"/>
  <c r="G47" i="91" s="1"/>
  <c r="E46" i="91"/>
  <c r="G46" i="91" s="1"/>
  <c r="E45" i="91"/>
  <c r="G45" i="91" s="1"/>
  <c r="E44" i="91"/>
  <c r="G44" i="91" s="1"/>
  <c r="E43" i="91"/>
  <c r="G43" i="91" s="1"/>
  <c r="E42" i="91"/>
  <c r="G42" i="91" s="1"/>
  <c r="E40" i="91"/>
  <c r="G40" i="91" s="1"/>
  <c r="E39" i="91"/>
  <c r="G39" i="91" s="1"/>
  <c r="E38" i="91"/>
  <c r="G38" i="91" s="1"/>
  <c r="E37" i="91"/>
  <c r="G37" i="91" s="1"/>
  <c r="E36" i="91"/>
  <c r="G36" i="91" s="1"/>
  <c r="E35" i="91"/>
  <c r="G35" i="91" s="1"/>
  <c r="E34" i="91"/>
  <c r="G34" i="91" s="1"/>
  <c r="E33" i="91"/>
  <c r="G33" i="91" s="1"/>
  <c r="E31" i="91"/>
  <c r="G31" i="91" s="1"/>
  <c r="E30" i="91"/>
  <c r="G30" i="91" s="1"/>
  <c r="E29" i="91"/>
  <c r="G29" i="91" s="1"/>
  <c r="E28" i="91"/>
  <c r="G28" i="91" s="1"/>
  <c r="E27" i="91"/>
  <c r="G27" i="91" s="1"/>
  <c r="E26" i="91"/>
  <c r="G26" i="91" s="1"/>
  <c r="E25" i="91"/>
  <c r="G25" i="91" s="1"/>
  <c r="E24" i="91"/>
  <c r="G24" i="91" s="1"/>
  <c r="E23" i="91"/>
  <c r="G23" i="91" s="1"/>
  <c r="E22" i="91"/>
  <c r="G22" i="91" s="1"/>
  <c r="E21" i="91"/>
  <c r="G21" i="91" s="1"/>
  <c r="E14" i="91"/>
  <c r="G14" i="91" s="1"/>
  <c r="E16" i="91"/>
  <c r="G16" i="91" s="1"/>
  <c r="E13" i="91"/>
  <c r="E12" i="91"/>
  <c r="E11" i="91"/>
  <c r="E10" i="91"/>
  <c r="E9" i="91"/>
  <c r="E61" i="124"/>
  <c r="G61" i="124" s="1"/>
  <c r="E20" i="124"/>
  <c r="G20" i="124" s="1"/>
  <c r="E19" i="124"/>
  <c r="G19" i="124" s="1"/>
  <c r="E18" i="124"/>
  <c r="G18" i="124" s="1"/>
  <c r="E17" i="124"/>
  <c r="G17" i="124" s="1"/>
  <c r="E60" i="124"/>
  <c r="G60" i="124" s="1"/>
  <c r="E57" i="124"/>
  <c r="G57" i="124" s="1"/>
  <c r="E56" i="124"/>
  <c r="G56" i="124" s="1"/>
  <c r="E55" i="124"/>
  <c r="G55" i="124" s="1"/>
  <c r="E54" i="124"/>
  <c r="G54" i="124" s="1"/>
  <c r="E51" i="124"/>
  <c r="G51" i="124" s="1"/>
  <c r="E50" i="124"/>
  <c r="G50" i="124" s="1"/>
  <c r="E49" i="124"/>
  <c r="G49" i="124" s="1"/>
  <c r="E48" i="124"/>
  <c r="G48" i="124" s="1"/>
  <c r="E47" i="124"/>
  <c r="G47" i="124" s="1"/>
  <c r="E46" i="124"/>
  <c r="G46" i="124" s="1"/>
  <c r="E45" i="124"/>
  <c r="G45" i="124" s="1"/>
  <c r="E44" i="124"/>
  <c r="G44" i="124" s="1"/>
  <c r="E43" i="124"/>
  <c r="G43" i="124" s="1"/>
  <c r="E42" i="124"/>
  <c r="G42" i="124" s="1"/>
  <c r="E40" i="124"/>
  <c r="G40" i="124" s="1"/>
  <c r="E39" i="124"/>
  <c r="G39" i="124" s="1"/>
  <c r="E38" i="124"/>
  <c r="G38" i="124" s="1"/>
  <c r="E37" i="124"/>
  <c r="G37" i="124" s="1"/>
  <c r="E36" i="124"/>
  <c r="G36" i="124" s="1"/>
  <c r="E35" i="124"/>
  <c r="G35" i="124" s="1"/>
  <c r="E34" i="124"/>
  <c r="G34" i="124" s="1"/>
  <c r="E33" i="124"/>
  <c r="G33" i="124" s="1"/>
  <c r="E31" i="124"/>
  <c r="G31" i="124" s="1"/>
  <c r="E30" i="124"/>
  <c r="G30" i="124" s="1"/>
  <c r="E29" i="124"/>
  <c r="G29" i="124" s="1"/>
  <c r="E28" i="124"/>
  <c r="G28" i="124" s="1"/>
  <c r="E27" i="124"/>
  <c r="G27" i="124" s="1"/>
  <c r="E26" i="124"/>
  <c r="G26" i="124" s="1"/>
  <c r="E25" i="124"/>
  <c r="G25" i="124" s="1"/>
  <c r="E24" i="124"/>
  <c r="G24" i="124" s="1"/>
  <c r="E23" i="124"/>
  <c r="G23" i="124" s="1"/>
  <c r="E22" i="124"/>
  <c r="G22" i="124" s="1"/>
  <c r="E21" i="124"/>
  <c r="G21" i="124" s="1"/>
  <c r="E14" i="124"/>
  <c r="G14" i="124" s="1"/>
  <c r="E16" i="124"/>
  <c r="G16" i="124" s="1"/>
  <c r="E13" i="124"/>
  <c r="E12" i="124"/>
  <c r="E11" i="124"/>
  <c r="E10" i="124"/>
  <c r="E9" i="124"/>
  <c r="E8" i="113"/>
  <c r="E61" i="113"/>
  <c r="G61" i="113" s="1"/>
  <c r="E20" i="113"/>
  <c r="G20" i="113" s="1"/>
  <c r="E19" i="113"/>
  <c r="G19" i="113" s="1"/>
  <c r="E18" i="113"/>
  <c r="G18" i="113" s="1"/>
  <c r="E17" i="113"/>
  <c r="G17" i="113" s="1"/>
  <c r="E60" i="113"/>
  <c r="G60" i="113" s="1"/>
  <c r="E57" i="113"/>
  <c r="G57" i="113" s="1"/>
  <c r="E56" i="113"/>
  <c r="G56" i="113" s="1"/>
  <c r="E55" i="113"/>
  <c r="G55" i="113" s="1"/>
  <c r="E54" i="113"/>
  <c r="G54" i="113" s="1"/>
  <c r="E51" i="113"/>
  <c r="G51" i="113" s="1"/>
  <c r="E50" i="113"/>
  <c r="G50" i="113" s="1"/>
  <c r="E49" i="113"/>
  <c r="G49" i="113" s="1"/>
  <c r="E48" i="113"/>
  <c r="G48" i="113" s="1"/>
  <c r="E47" i="113"/>
  <c r="G47" i="113" s="1"/>
  <c r="E46" i="113"/>
  <c r="G46" i="113" s="1"/>
  <c r="E45" i="113"/>
  <c r="G45" i="113" s="1"/>
  <c r="E44" i="113"/>
  <c r="G44" i="113" s="1"/>
  <c r="E43" i="113"/>
  <c r="G43" i="113" s="1"/>
  <c r="E42" i="113"/>
  <c r="G42" i="113" s="1"/>
  <c r="E40" i="113"/>
  <c r="G40" i="113" s="1"/>
  <c r="E39" i="113"/>
  <c r="G39" i="113" s="1"/>
  <c r="E38" i="113"/>
  <c r="G38" i="113" s="1"/>
  <c r="E37" i="113"/>
  <c r="G37" i="113" s="1"/>
  <c r="E36" i="113"/>
  <c r="G36" i="113" s="1"/>
  <c r="E35" i="113"/>
  <c r="G35" i="113" s="1"/>
  <c r="E34" i="113"/>
  <c r="G34" i="113" s="1"/>
  <c r="E33" i="113"/>
  <c r="G33" i="113" s="1"/>
  <c r="E31" i="113"/>
  <c r="G31" i="113" s="1"/>
  <c r="E30" i="113"/>
  <c r="G30" i="113" s="1"/>
  <c r="E29" i="113"/>
  <c r="G29" i="113" s="1"/>
  <c r="E28" i="113"/>
  <c r="G28" i="113" s="1"/>
  <c r="E27" i="113"/>
  <c r="G27" i="113" s="1"/>
  <c r="E26" i="113"/>
  <c r="G26" i="113" s="1"/>
  <c r="E25" i="113"/>
  <c r="G25" i="113" s="1"/>
  <c r="E24" i="113"/>
  <c r="G24" i="113" s="1"/>
  <c r="E23" i="113"/>
  <c r="G23" i="113" s="1"/>
  <c r="E22" i="113"/>
  <c r="G22" i="113" s="1"/>
  <c r="E21" i="113"/>
  <c r="G21" i="113" s="1"/>
  <c r="E14" i="113"/>
  <c r="G14" i="113" s="1"/>
  <c r="E13" i="113"/>
  <c r="E12" i="113"/>
  <c r="E11" i="113"/>
  <c r="E10" i="113"/>
  <c r="E9" i="113"/>
  <c r="F18" i="129"/>
  <c r="F23" i="129"/>
  <c r="F22" i="129"/>
  <c r="F15" i="129"/>
  <c r="F20" i="129"/>
  <c r="F7" i="129"/>
  <c r="F8" i="129"/>
  <c r="F9" i="129"/>
  <c r="F10" i="129"/>
  <c r="F11" i="129"/>
  <c r="F12" i="129"/>
  <c r="F13" i="129"/>
  <c r="F14" i="129"/>
  <c r="F21" i="129"/>
  <c r="E72" i="86"/>
  <c r="E121" i="86" s="1"/>
  <c r="E75" i="86"/>
  <c r="E78" i="86"/>
  <c r="E123" i="86" s="1"/>
  <c r="E81" i="86"/>
  <c r="E124" i="86" s="1"/>
  <c r="E84" i="86"/>
  <c r="E125" i="86" s="1"/>
  <c r="E87" i="86"/>
  <c r="E126" i="86" s="1"/>
  <c r="E90" i="86"/>
  <c r="E93" i="86"/>
  <c r="E96" i="86"/>
  <c r="E129" i="86" s="1"/>
  <c r="E99" i="86"/>
  <c r="E102" i="86"/>
  <c r="E131" i="86" s="1"/>
  <c r="E73" i="86"/>
  <c r="E76" i="86"/>
  <c r="E79" i="86"/>
  <c r="E82" i="86"/>
  <c r="E85" i="86"/>
  <c r="E88" i="86"/>
  <c r="E91" i="86"/>
  <c r="E94" i="86"/>
  <c r="E97" i="86"/>
  <c r="E100" i="86"/>
  <c r="E103" i="86"/>
  <c r="E106" i="86"/>
  <c r="E74" i="86"/>
  <c r="E77" i="86"/>
  <c r="E80" i="86"/>
  <c r="E83" i="86"/>
  <c r="E86" i="86"/>
  <c r="E89" i="86"/>
  <c r="E92" i="86"/>
  <c r="E95" i="86"/>
  <c r="E98" i="86"/>
  <c r="E101" i="86"/>
  <c r="E104" i="86"/>
  <c r="E107" i="86"/>
  <c r="E110" i="86"/>
  <c r="E113" i="86"/>
  <c r="E122" i="86"/>
  <c r="E127" i="86"/>
  <c r="E128" i="86"/>
  <c r="E130" i="86"/>
  <c r="E105" i="86"/>
  <c r="E132" i="86" s="1"/>
  <c r="E108" i="86"/>
  <c r="E111" i="86"/>
  <c r="D8" i="86"/>
  <c r="E8" i="86"/>
  <c r="D9" i="86"/>
  <c r="E9" i="86"/>
  <c r="D10" i="86"/>
  <c r="E10" i="86"/>
  <c r="D11" i="86"/>
  <c r="E11" i="86"/>
  <c r="D12" i="86"/>
  <c r="E12" i="86"/>
  <c r="D13" i="86"/>
  <c r="E13" i="86"/>
  <c r="D16" i="86"/>
  <c r="E16" i="86"/>
  <c r="G16" i="86" s="1"/>
  <c r="D14" i="86"/>
  <c r="E14" i="86"/>
  <c r="D21" i="86"/>
  <c r="E21" i="86"/>
  <c r="G21" i="86" s="1"/>
  <c r="D22" i="86"/>
  <c r="E22" i="86"/>
  <c r="G22" i="86" s="1"/>
  <c r="D23" i="86"/>
  <c r="E23" i="86"/>
  <c r="G23" i="86" s="1"/>
  <c r="D24" i="86"/>
  <c r="E24" i="86"/>
  <c r="G24" i="86" s="1"/>
  <c r="D25" i="86"/>
  <c r="E25" i="86"/>
  <c r="G25" i="86" s="1"/>
  <c r="D26" i="86"/>
  <c r="E26" i="86"/>
  <c r="G26" i="86" s="1"/>
  <c r="D27" i="86"/>
  <c r="E27" i="86"/>
  <c r="G27" i="86" s="1"/>
  <c r="D28" i="86"/>
  <c r="E28" i="86"/>
  <c r="G28" i="86" s="1"/>
  <c r="D29" i="86"/>
  <c r="E29" i="86"/>
  <c r="G29" i="86" s="1"/>
  <c r="D30" i="86"/>
  <c r="E30" i="86"/>
  <c r="G30" i="86" s="1"/>
  <c r="D31" i="86"/>
  <c r="E31" i="86"/>
  <c r="G31" i="86" s="1"/>
  <c r="D33" i="86"/>
  <c r="E33" i="86"/>
  <c r="G33" i="86" s="1"/>
  <c r="D34" i="86"/>
  <c r="E34" i="86"/>
  <c r="G34" i="86" s="1"/>
  <c r="D35" i="86"/>
  <c r="E35" i="86"/>
  <c r="G35" i="86" s="1"/>
  <c r="D36" i="86"/>
  <c r="E36" i="86"/>
  <c r="G36" i="86" s="1"/>
  <c r="D37" i="86"/>
  <c r="E37" i="86"/>
  <c r="G37" i="86" s="1"/>
  <c r="D38" i="86"/>
  <c r="E38" i="86"/>
  <c r="G38" i="86" s="1"/>
  <c r="D39" i="86"/>
  <c r="E39" i="86"/>
  <c r="G39" i="86" s="1"/>
  <c r="D40" i="86"/>
  <c r="E40" i="86"/>
  <c r="G40" i="86" s="1"/>
  <c r="D42" i="86"/>
  <c r="E42" i="86"/>
  <c r="G42" i="86" s="1"/>
  <c r="D43" i="86"/>
  <c r="E43" i="86"/>
  <c r="G43" i="86" s="1"/>
  <c r="D44" i="86"/>
  <c r="E44" i="86"/>
  <c r="G44" i="86" s="1"/>
  <c r="D45" i="86"/>
  <c r="E45" i="86"/>
  <c r="G45" i="86" s="1"/>
  <c r="D46" i="86"/>
  <c r="E46" i="86"/>
  <c r="G46" i="86" s="1"/>
  <c r="D47" i="86"/>
  <c r="E47" i="86"/>
  <c r="G47" i="86" s="1"/>
  <c r="D48" i="86"/>
  <c r="E48" i="86"/>
  <c r="G48" i="86" s="1"/>
  <c r="D49" i="86"/>
  <c r="E49" i="86"/>
  <c r="G49" i="86" s="1"/>
  <c r="D50" i="86"/>
  <c r="E50" i="86"/>
  <c r="G50" i="86" s="1"/>
  <c r="D51" i="86"/>
  <c r="E51" i="86"/>
  <c r="G51" i="86" s="1"/>
  <c r="D54" i="86"/>
  <c r="E54" i="86"/>
  <c r="G54" i="86" s="1"/>
  <c r="D55" i="86"/>
  <c r="E55" i="86"/>
  <c r="G55" i="86" s="1"/>
  <c r="D56" i="86"/>
  <c r="E56" i="86"/>
  <c r="G56" i="86" s="1"/>
  <c r="D57" i="86"/>
  <c r="E57" i="86"/>
  <c r="G57" i="86" s="1"/>
  <c r="D60" i="86"/>
  <c r="E60" i="86"/>
  <c r="G60" i="86" s="1"/>
  <c r="D17" i="86"/>
  <c r="E17" i="86"/>
  <c r="G17" i="86" s="1"/>
  <c r="D18" i="86"/>
  <c r="E18" i="86"/>
  <c r="G18" i="86" s="1"/>
  <c r="D19" i="86"/>
  <c r="E19" i="86"/>
  <c r="G19" i="86" s="1"/>
  <c r="D20" i="86"/>
  <c r="E20" i="86"/>
  <c r="G20" i="86" s="1"/>
  <c r="D61" i="86"/>
  <c r="E61" i="86"/>
  <c r="G61" i="86" s="1"/>
  <c r="E109" i="86"/>
  <c r="E112" i="86"/>
  <c r="D63" i="86"/>
  <c r="E63" i="86"/>
  <c r="D64" i="86"/>
  <c r="E64" i="86"/>
  <c r="D65" i="86"/>
  <c r="E65" i="86"/>
  <c r="D66" i="86"/>
  <c r="E66" i="86"/>
  <c r="D67" i="86"/>
  <c r="E67" i="86"/>
  <c r="D68" i="86"/>
  <c r="E68" i="86"/>
  <c r="D69" i="86"/>
  <c r="E69" i="86"/>
  <c r="D70" i="86"/>
  <c r="E70" i="86"/>
  <c r="E72" i="116"/>
  <c r="E75" i="116"/>
  <c r="E78" i="116"/>
  <c r="E123" i="116" s="1"/>
  <c r="E81" i="116"/>
  <c r="E124" i="116" s="1"/>
  <c r="E84" i="116"/>
  <c r="E125" i="116" s="1"/>
  <c r="E87" i="116"/>
  <c r="E90" i="116"/>
  <c r="E127" i="116" s="1"/>
  <c r="E93" i="116"/>
  <c r="E96" i="116"/>
  <c r="E129" i="116" s="1"/>
  <c r="E99" i="116"/>
  <c r="E130" i="116" s="1"/>
  <c r="E102" i="116"/>
  <c r="E131" i="116" s="1"/>
  <c r="E73" i="116"/>
  <c r="E76" i="116"/>
  <c r="E79" i="116"/>
  <c r="E82" i="116"/>
  <c r="E85" i="116"/>
  <c r="E88" i="116"/>
  <c r="E91" i="116"/>
  <c r="E94" i="116"/>
  <c r="E97" i="116"/>
  <c r="E100" i="116"/>
  <c r="E103" i="116"/>
  <c r="E106" i="116"/>
  <c r="E74" i="116"/>
  <c r="E77" i="116"/>
  <c r="E80" i="116"/>
  <c r="E83" i="116"/>
  <c r="E86" i="116"/>
  <c r="E89" i="116"/>
  <c r="E92" i="116"/>
  <c r="E95" i="116"/>
  <c r="E98" i="116"/>
  <c r="E101" i="116"/>
  <c r="E104" i="116"/>
  <c r="E107" i="116"/>
  <c r="E110" i="116"/>
  <c r="E113" i="116"/>
  <c r="E126" i="116"/>
  <c r="E128" i="116"/>
  <c r="E105" i="116"/>
  <c r="E132" i="116" s="1"/>
  <c r="E108" i="116"/>
  <c r="E111" i="116"/>
  <c r="D8" i="116"/>
  <c r="D9" i="116"/>
  <c r="E9" i="116"/>
  <c r="D10" i="116"/>
  <c r="E10" i="116"/>
  <c r="D11" i="116"/>
  <c r="E11" i="116"/>
  <c r="D12" i="116"/>
  <c r="E12" i="116"/>
  <c r="D13" i="116"/>
  <c r="E13" i="116"/>
  <c r="D16" i="116"/>
  <c r="E16" i="116"/>
  <c r="G16" i="116" s="1"/>
  <c r="D21" i="116"/>
  <c r="E21" i="116"/>
  <c r="G21" i="116" s="1"/>
  <c r="D22" i="116"/>
  <c r="E22" i="116"/>
  <c r="G22" i="116" s="1"/>
  <c r="D23" i="116"/>
  <c r="E23" i="116"/>
  <c r="G23" i="116" s="1"/>
  <c r="D24" i="116"/>
  <c r="E24" i="116"/>
  <c r="G24" i="116" s="1"/>
  <c r="D25" i="116"/>
  <c r="E25" i="116"/>
  <c r="G25" i="116" s="1"/>
  <c r="D26" i="116"/>
  <c r="E26" i="116"/>
  <c r="G26" i="116" s="1"/>
  <c r="D27" i="116"/>
  <c r="E27" i="116"/>
  <c r="G27" i="116" s="1"/>
  <c r="D28" i="116"/>
  <c r="E28" i="116"/>
  <c r="G28" i="116" s="1"/>
  <c r="D29" i="116"/>
  <c r="E29" i="116"/>
  <c r="G29" i="116" s="1"/>
  <c r="D30" i="116"/>
  <c r="E30" i="116"/>
  <c r="G30" i="116" s="1"/>
  <c r="D31" i="116"/>
  <c r="E31" i="116"/>
  <c r="G31" i="116" s="1"/>
  <c r="D33" i="116"/>
  <c r="E33" i="116"/>
  <c r="G33" i="116" s="1"/>
  <c r="D34" i="116"/>
  <c r="E34" i="116"/>
  <c r="G34" i="116" s="1"/>
  <c r="D35" i="116"/>
  <c r="E35" i="116"/>
  <c r="G35" i="116" s="1"/>
  <c r="D36" i="116"/>
  <c r="E36" i="116"/>
  <c r="G36" i="116" s="1"/>
  <c r="D37" i="116"/>
  <c r="E37" i="116"/>
  <c r="G37" i="116" s="1"/>
  <c r="D38" i="116"/>
  <c r="E38" i="116"/>
  <c r="G38" i="116" s="1"/>
  <c r="D39" i="116"/>
  <c r="E39" i="116"/>
  <c r="G39" i="116" s="1"/>
  <c r="D40" i="116"/>
  <c r="E40" i="116"/>
  <c r="G40" i="116" s="1"/>
  <c r="D42" i="116"/>
  <c r="E42" i="116"/>
  <c r="G42" i="116" s="1"/>
  <c r="D43" i="116"/>
  <c r="E43" i="116"/>
  <c r="G43" i="116" s="1"/>
  <c r="D44" i="116"/>
  <c r="E44" i="116"/>
  <c r="G44" i="116" s="1"/>
  <c r="D45" i="116"/>
  <c r="E45" i="116"/>
  <c r="G45" i="116" s="1"/>
  <c r="D46" i="116"/>
  <c r="E46" i="116"/>
  <c r="G46" i="116" s="1"/>
  <c r="D47" i="116"/>
  <c r="E47" i="116"/>
  <c r="G47" i="116" s="1"/>
  <c r="D48" i="116"/>
  <c r="E48" i="116"/>
  <c r="G48" i="116" s="1"/>
  <c r="D49" i="116"/>
  <c r="E49" i="116"/>
  <c r="G49" i="116" s="1"/>
  <c r="D50" i="116"/>
  <c r="E50" i="116"/>
  <c r="G50" i="116" s="1"/>
  <c r="D51" i="116"/>
  <c r="E51" i="116"/>
  <c r="G51" i="116" s="1"/>
  <c r="D54" i="116"/>
  <c r="E54" i="116"/>
  <c r="G54" i="116" s="1"/>
  <c r="D55" i="116"/>
  <c r="E55" i="116"/>
  <c r="G55" i="116" s="1"/>
  <c r="D56" i="116"/>
  <c r="E56" i="116"/>
  <c r="G56" i="116" s="1"/>
  <c r="D57" i="116"/>
  <c r="E57" i="116"/>
  <c r="G57" i="116" s="1"/>
  <c r="D60" i="116"/>
  <c r="E60" i="116"/>
  <c r="G60" i="116" s="1"/>
  <c r="D20" i="116"/>
  <c r="E20" i="116"/>
  <c r="G20" i="116" s="1"/>
  <c r="D61" i="116"/>
  <c r="E61" i="116"/>
  <c r="G61" i="116" s="1"/>
  <c r="E109" i="116"/>
  <c r="E112" i="116"/>
  <c r="D63" i="116"/>
  <c r="E63" i="116"/>
  <c r="D64" i="116"/>
  <c r="E64" i="116"/>
  <c r="D65" i="116"/>
  <c r="E65" i="116"/>
  <c r="D66" i="116"/>
  <c r="E66" i="116"/>
  <c r="D67" i="116"/>
  <c r="E67" i="116"/>
  <c r="D68" i="116"/>
  <c r="E68" i="116"/>
  <c r="D69" i="116"/>
  <c r="E69" i="116"/>
  <c r="D70" i="116"/>
  <c r="E70" i="116"/>
  <c r="E72" i="95"/>
  <c r="E75" i="95"/>
  <c r="E122" i="95" s="1"/>
  <c r="E78" i="95"/>
  <c r="E123" i="95" s="1"/>
  <c r="E81" i="95"/>
  <c r="E124" i="95" s="1"/>
  <c r="E84" i="95"/>
  <c r="E125" i="95" s="1"/>
  <c r="E87" i="95"/>
  <c r="E126" i="95" s="1"/>
  <c r="E90" i="95"/>
  <c r="E127" i="95" s="1"/>
  <c r="E93" i="95"/>
  <c r="E96" i="95"/>
  <c r="E129" i="95" s="1"/>
  <c r="E99" i="95"/>
  <c r="E130" i="95" s="1"/>
  <c r="E102" i="95"/>
  <c r="E131" i="95" s="1"/>
  <c r="E73" i="95"/>
  <c r="E76" i="95"/>
  <c r="E79" i="95"/>
  <c r="E82" i="95"/>
  <c r="E85" i="95"/>
  <c r="E88" i="95"/>
  <c r="E91" i="95"/>
  <c r="E94" i="95"/>
  <c r="E97" i="95"/>
  <c r="E100" i="95"/>
  <c r="E103" i="95"/>
  <c r="E106" i="95"/>
  <c r="E74" i="95"/>
  <c r="E77" i="95"/>
  <c r="E80" i="95"/>
  <c r="E83" i="95"/>
  <c r="E86" i="95"/>
  <c r="E89" i="95"/>
  <c r="E92" i="95"/>
  <c r="E95" i="95"/>
  <c r="E98" i="95"/>
  <c r="E101" i="95"/>
  <c r="E104" i="95"/>
  <c r="E107" i="95"/>
  <c r="E110" i="95"/>
  <c r="E113" i="95"/>
  <c r="E128" i="95"/>
  <c r="E105" i="95"/>
  <c r="E132" i="95" s="1"/>
  <c r="E108" i="95"/>
  <c r="E111" i="95"/>
  <c r="D8" i="95"/>
  <c r="E8" i="95"/>
  <c r="D9" i="95"/>
  <c r="E9" i="95"/>
  <c r="D10" i="95"/>
  <c r="E10" i="95"/>
  <c r="D11" i="95"/>
  <c r="E11" i="95"/>
  <c r="D12" i="95"/>
  <c r="E12" i="95"/>
  <c r="D13" i="95"/>
  <c r="E13" i="95"/>
  <c r="D16" i="95"/>
  <c r="E16" i="95"/>
  <c r="G16" i="95" s="1"/>
  <c r="D14" i="95"/>
  <c r="E14" i="95"/>
  <c r="D21" i="95"/>
  <c r="E21" i="95"/>
  <c r="G21" i="95" s="1"/>
  <c r="D22" i="95"/>
  <c r="E22" i="95"/>
  <c r="G22" i="95" s="1"/>
  <c r="D23" i="95"/>
  <c r="E23" i="95"/>
  <c r="G23" i="95" s="1"/>
  <c r="D24" i="95"/>
  <c r="E24" i="95"/>
  <c r="G24" i="95" s="1"/>
  <c r="D25" i="95"/>
  <c r="E25" i="95"/>
  <c r="G25" i="95" s="1"/>
  <c r="D26" i="95"/>
  <c r="E26" i="95"/>
  <c r="G26" i="95" s="1"/>
  <c r="D27" i="95"/>
  <c r="E27" i="95"/>
  <c r="G27" i="95" s="1"/>
  <c r="D28" i="95"/>
  <c r="E28" i="95"/>
  <c r="G28" i="95" s="1"/>
  <c r="D29" i="95"/>
  <c r="E29" i="95"/>
  <c r="G29" i="95" s="1"/>
  <c r="D30" i="95"/>
  <c r="E30" i="95"/>
  <c r="G30" i="95" s="1"/>
  <c r="D31" i="95"/>
  <c r="E31" i="95"/>
  <c r="G31" i="95" s="1"/>
  <c r="D33" i="95"/>
  <c r="E33" i="95"/>
  <c r="G33" i="95" s="1"/>
  <c r="D34" i="95"/>
  <c r="E34" i="95"/>
  <c r="G34" i="95" s="1"/>
  <c r="D35" i="95"/>
  <c r="E35" i="95"/>
  <c r="G35" i="95" s="1"/>
  <c r="D36" i="95"/>
  <c r="E36" i="95"/>
  <c r="G36" i="95" s="1"/>
  <c r="D37" i="95"/>
  <c r="E37" i="95"/>
  <c r="G37" i="95" s="1"/>
  <c r="D38" i="95"/>
  <c r="E38" i="95"/>
  <c r="G38" i="95" s="1"/>
  <c r="D39" i="95"/>
  <c r="E39" i="95"/>
  <c r="G39" i="95" s="1"/>
  <c r="D40" i="95"/>
  <c r="E40" i="95"/>
  <c r="G40" i="95" s="1"/>
  <c r="D42" i="95"/>
  <c r="E42" i="95"/>
  <c r="G42" i="95" s="1"/>
  <c r="D43" i="95"/>
  <c r="E43" i="95"/>
  <c r="G43" i="95" s="1"/>
  <c r="D44" i="95"/>
  <c r="E44" i="95"/>
  <c r="G44" i="95" s="1"/>
  <c r="D45" i="95"/>
  <c r="E45" i="95"/>
  <c r="G45" i="95" s="1"/>
  <c r="D46" i="95"/>
  <c r="E46" i="95"/>
  <c r="G46" i="95" s="1"/>
  <c r="D47" i="95"/>
  <c r="E47" i="95"/>
  <c r="G47" i="95" s="1"/>
  <c r="D48" i="95"/>
  <c r="E48" i="95"/>
  <c r="G48" i="95" s="1"/>
  <c r="D49" i="95"/>
  <c r="E49" i="95"/>
  <c r="G49" i="95" s="1"/>
  <c r="D50" i="95"/>
  <c r="E50" i="95"/>
  <c r="G50" i="95" s="1"/>
  <c r="D51" i="95"/>
  <c r="E51" i="95"/>
  <c r="G51" i="95" s="1"/>
  <c r="D54" i="95"/>
  <c r="E54" i="95"/>
  <c r="G54" i="95" s="1"/>
  <c r="D55" i="95"/>
  <c r="E55" i="95"/>
  <c r="G55" i="95" s="1"/>
  <c r="D56" i="95"/>
  <c r="E56" i="95"/>
  <c r="G56" i="95" s="1"/>
  <c r="D57" i="95"/>
  <c r="E57" i="95"/>
  <c r="G57" i="95" s="1"/>
  <c r="D60" i="95"/>
  <c r="E60" i="95"/>
  <c r="G60" i="95" s="1"/>
  <c r="D17" i="95"/>
  <c r="E17" i="95"/>
  <c r="G17" i="95" s="1"/>
  <c r="D18" i="95"/>
  <c r="E18" i="95"/>
  <c r="G18" i="95" s="1"/>
  <c r="D19" i="95"/>
  <c r="E19" i="95"/>
  <c r="G19" i="95" s="1"/>
  <c r="D20" i="95"/>
  <c r="E20" i="95"/>
  <c r="G20" i="95" s="1"/>
  <c r="D61" i="95"/>
  <c r="E61" i="95"/>
  <c r="G61" i="95" s="1"/>
  <c r="E109" i="95"/>
  <c r="E112" i="95"/>
  <c r="D63" i="95"/>
  <c r="E63" i="95"/>
  <c r="D64" i="95"/>
  <c r="E64" i="95"/>
  <c r="D65" i="95"/>
  <c r="E65" i="95"/>
  <c r="D66" i="95"/>
  <c r="E66" i="95"/>
  <c r="D67" i="95"/>
  <c r="E67" i="95"/>
  <c r="D68" i="95"/>
  <c r="E68" i="95"/>
  <c r="D69" i="95"/>
  <c r="E69" i="95"/>
  <c r="D70" i="95"/>
  <c r="E70" i="95"/>
  <c r="E72" i="124"/>
  <c r="E75" i="124"/>
  <c r="E78" i="124"/>
  <c r="E123" i="124" s="1"/>
  <c r="E81" i="124"/>
  <c r="E84" i="124"/>
  <c r="E125" i="124" s="1"/>
  <c r="E87" i="124"/>
  <c r="E90" i="124"/>
  <c r="E127" i="124" s="1"/>
  <c r="E93" i="124"/>
  <c r="E106" i="124" s="1"/>
  <c r="E96" i="124"/>
  <c r="E129" i="124" s="1"/>
  <c r="E99" i="124"/>
  <c r="E102" i="124"/>
  <c r="E131" i="124" s="1"/>
  <c r="E73" i="124"/>
  <c r="E76" i="124"/>
  <c r="E79" i="124"/>
  <c r="E82" i="124"/>
  <c r="E85" i="124"/>
  <c r="E88" i="124"/>
  <c r="E91" i="124"/>
  <c r="E94" i="124"/>
  <c r="E97" i="124"/>
  <c r="E100" i="124"/>
  <c r="E103" i="124"/>
  <c r="E74" i="124"/>
  <c r="E77" i="124"/>
  <c r="E80" i="124"/>
  <c r="E83" i="124"/>
  <c r="E86" i="124"/>
  <c r="E89" i="124"/>
  <c r="E92" i="124"/>
  <c r="E95" i="124"/>
  <c r="E98" i="124"/>
  <c r="E101" i="124"/>
  <c r="E104" i="124"/>
  <c r="E107" i="124"/>
  <c r="E110" i="124"/>
  <c r="E113" i="124"/>
  <c r="E122" i="124"/>
  <c r="E124" i="124"/>
  <c r="E126" i="124"/>
  <c r="E128" i="124"/>
  <c r="E130" i="124"/>
  <c r="E105" i="124"/>
  <c r="E132" i="124" s="1"/>
  <c r="E108" i="124"/>
  <c r="E111" i="124"/>
  <c r="D9" i="124"/>
  <c r="F9" i="124" s="1"/>
  <c r="D10" i="124"/>
  <c r="D11" i="124"/>
  <c r="D12" i="124"/>
  <c r="D13" i="124"/>
  <c r="D16" i="124"/>
  <c r="D14" i="124"/>
  <c r="D21" i="124"/>
  <c r="D22" i="124"/>
  <c r="D23" i="124"/>
  <c r="D24" i="124"/>
  <c r="D25" i="124"/>
  <c r="D26" i="124"/>
  <c r="D27" i="124"/>
  <c r="D28" i="124"/>
  <c r="D29" i="124"/>
  <c r="D30" i="124"/>
  <c r="D31" i="124"/>
  <c r="D33" i="124"/>
  <c r="D34" i="124"/>
  <c r="D35" i="124"/>
  <c r="D36" i="124"/>
  <c r="D37" i="124"/>
  <c r="D38" i="124"/>
  <c r="D39" i="124"/>
  <c r="D40" i="124"/>
  <c r="D42" i="124"/>
  <c r="D43" i="124"/>
  <c r="D44" i="124"/>
  <c r="D45" i="124"/>
  <c r="D46" i="124"/>
  <c r="D47" i="124"/>
  <c r="D48" i="124"/>
  <c r="D49" i="124"/>
  <c r="D50" i="124"/>
  <c r="D51" i="124"/>
  <c r="D54" i="124"/>
  <c r="D55" i="124"/>
  <c r="D56" i="124"/>
  <c r="D57" i="124"/>
  <c r="D60" i="124"/>
  <c r="D17" i="124"/>
  <c r="D18" i="124"/>
  <c r="D19" i="124"/>
  <c r="D20" i="124"/>
  <c r="D61" i="124"/>
  <c r="F8" i="124"/>
  <c r="E109" i="124"/>
  <c r="E112" i="124"/>
  <c r="F63" i="124"/>
  <c r="F65" i="124"/>
  <c r="F67" i="124"/>
  <c r="F69" i="124"/>
  <c r="E72" i="91"/>
  <c r="E75" i="91"/>
  <c r="E78" i="91"/>
  <c r="E81" i="91"/>
  <c r="E84" i="91"/>
  <c r="E87" i="91"/>
  <c r="E90" i="91"/>
  <c r="E93" i="91"/>
  <c r="E107" i="91" s="1"/>
  <c r="E96" i="91"/>
  <c r="E129" i="91" s="1"/>
  <c r="E99" i="91"/>
  <c r="E130" i="91" s="1"/>
  <c r="E102" i="91"/>
  <c r="E73" i="91"/>
  <c r="E76" i="91"/>
  <c r="E79" i="91"/>
  <c r="E82" i="91"/>
  <c r="E85" i="91"/>
  <c r="E88" i="91"/>
  <c r="E91" i="91"/>
  <c r="E94" i="91"/>
  <c r="E97" i="91"/>
  <c r="E100" i="91"/>
  <c r="E103" i="91"/>
  <c r="E74" i="91"/>
  <c r="E77" i="91"/>
  <c r="E80" i="91"/>
  <c r="E83" i="91"/>
  <c r="E86" i="91"/>
  <c r="E89" i="91"/>
  <c r="E92" i="91"/>
  <c r="E95" i="91"/>
  <c r="E98" i="91"/>
  <c r="E101" i="91"/>
  <c r="E104" i="91"/>
  <c r="E122" i="91"/>
  <c r="E123" i="91"/>
  <c r="E124" i="91"/>
  <c r="E125" i="91"/>
  <c r="E126" i="91"/>
  <c r="E127" i="91"/>
  <c r="E131" i="91"/>
  <c r="D9" i="91"/>
  <c r="D10" i="91"/>
  <c r="D11" i="91"/>
  <c r="D12" i="91"/>
  <c r="D13" i="91"/>
  <c r="F13" i="91"/>
  <c r="D16" i="91"/>
  <c r="D14" i="91"/>
  <c r="D21" i="91"/>
  <c r="D22" i="91"/>
  <c r="D23" i="91"/>
  <c r="D24" i="91"/>
  <c r="F24" i="91" s="1"/>
  <c r="D25" i="91"/>
  <c r="D26" i="91"/>
  <c r="D27" i="91"/>
  <c r="D28" i="91"/>
  <c r="D29" i="91"/>
  <c r="D30" i="91"/>
  <c r="D31" i="91"/>
  <c r="D33" i="91"/>
  <c r="F33" i="91" s="1"/>
  <c r="D34" i="91"/>
  <c r="D35" i="91"/>
  <c r="D36" i="91"/>
  <c r="D37" i="91"/>
  <c r="D38" i="91"/>
  <c r="D39" i="91"/>
  <c r="D40" i="91"/>
  <c r="D42" i="91"/>
  <c r="F42" i="91" s="1"/>
  <c r="D43" i="91"/>
  <c r="D44" i="91"/>
  <c r="D45" i="91"/>
  <c r="D46" i="91"/>
  <c r="D47" i="91"/>
  <c r="D48" i="91"/>
  <c r="D49" i="91"/>
  <c r="D50" i="91"/>
  <c r="F50" i="91" s="1"/>
  <c r="D51" i="91"/>
  <c r="D54" i="91"/>
  <c r="D55" i="91"/>
  <c r="D56" i="91"/>
  <c r="D57" i="91"/>
  <c r="D60" i="91"/>
  <c r="D17" i="91"/>
  <c r="D18" i="91"/>
  <c r="F18" i="91" s="1"/>
  <c r="D19" i="91"/>
  <c r="D20" i="91"/>
  <c r="D61" i="91"/>
  <c r="F8" i="91"/>
  <c r="F63" i="91"/>
  <c r="F67" i="91"/>
  <c r="F69" i="91"/>
  <c r="E72" i="99"/>
  <c r="E75" i="99"/>
  <c r="E78" i="99"/>
  <c r="E81" i="99"/>
  <c r="E84" i="99"/>
  <c r="E125" i="99" s="1"/>
  <c r="E87" i="99"/>
  <c r="E90" i="99"/>
  <c r="E127" i="99" s="1"/>
  <c r="E93" i="99"/>
  <c r="E113" i="99" s="1"/>
  <c r="E96" i="99"/>
  <c r="E99" i="99"/>
  <c r="E130" i="99" s="1"/>
  <c r="E102" i="99"/>
  <c r="E73" i="99"/>
  <c r="E76" i="99"/>
  <c r="E79" i="99"/>
  <c r="E82" i="99"/>
  <c r="E85" i="99"/>
  <c r="E88" i="99"/>
  <c r="E91" i="99"/>
  <c r="E94" i="99"/>
  <c r="E97" i="99"/>
  <c r="E100" i="99"/>
  <c r="E103" i="99"/>
  <c r="E74" i="99"/>
  <c r="E77" i="99"/>
  <c r="E80" i="99"/>
  <c r="E83" i="99"/>
  <c r="E86" i="99"/>
  <c r="E89" i="99"/>
  <c r="E92" i="99"/>
  <c r="E95" i="99"/>
  <c r="E98" i="99"/>
  <c r="E101" i="99"/>
  <c r="E104" i="99"/>
  <c r="E121" i="99"/>
  <c r="E123" i="99"/>
  <c r="E124" i="99"/>
  <c r="E126" i="99"/>
  <c r="E128" i="99"/>
  <c r="E129" i="99"/>
  <c r="E131" i="99"/>
  <c r="D9" i="99"/>
  <c r="E9" i="99"/>
  <c r="D10" i="99"/>
  <c r="E10" i="99"/>
  <c r="D11" i="99"/>
  <c r="E11" i="99"/>
  <c r="D12" i="99"/>
  <c r="E12" i="99"/>
  <c r="D13" i="99"/>
  <c r="E13" i="99"/>
  <c r="D16" i="99"/>
  <c r="E16" i="99"/>
  <c r="G16" i="99" s="1"/>
  <c r="D14" i="99"/>
  <c r="E14" i="99"/>
  <c r="G14" i="99" s="1"/>
  <c r="D21" i="99"/>
  <c r="E21" i="99"/>
  <c r="G21" i="99" s="1"/>
  <c r="D22" i="99"/>
  <c r="E22" i="99"/>
  <c r="G22" i="99" s="1"/>
  <c r="D23" i="99"/>
  <c r="E23" i="99"/>
  <c r="G23" i="99" s="1"/>
  <c r="D24" i="99"/>
  <c r="E24" i="99"/>
  <c r="G24" i="99" s="1"/>
  <c r="D25" i="99"/>
  <c r="E25" i="99"/>
  <c r="G25" i="99" s="1"/>
  <c r="D26" i="99"/>
  <c r="E26" i="99"/>
  <c r="G26" i="99" s="1"/>
  <c r="D27" i="99"/>
  <c r="E27" i="99"/>
  <c r="G27" i="99" s="1"/>
  <c r="D28" i="99"/>
  <c r="E28" i="99"/>
  <c r="G28" i="99" s="1"/>
  <c r="D29" i="99"/>
  <c r="E29" i="99"/>
  <c r="G29" i="99" s="1"/>
  <c r="D30" i="99"/>
  <c r="E30" i="99"/>
  <c r="G30" i="99" s="1"/>
  <c r="D31" i="99"/>
  <c r="E31" i="99"/>
  <c r="G31" i="99" s="1"/>
  <c r="D33" i="99"/>
  <c r="E33" i="99"/>
  <c r="G33" i="99" s="1"/>
  <c r="D34" i="99"/>
  <c r="E34" i="99"/>
  <c r="G34" i="99" s="1"/>
  <c r="D35" i="99"/>
  <c r="E35" i="99"/>
  <c r="G35" i="99" s="1"/>
  <c r="D36" i="99"/>
  <c r="E36" i="99"/>
  <c r="G36" i="99" s="1"/>
  <c r="D37" i="99"/>
  <c r="E37" i="99"/>
  <c r="G37" i="99" s="1"/>
  <c r="D38" i="99"/>
  <c r="E38" i="99"/>
  <c r="G38" i="99" s="1"/>
  <c r="D39" i="99"/>
  <c r="E39" i="99"/>
  <c r="G39" i="99" s="1"/>
  <c r="D40" i="99"/>
  <c r="E40" i="99"/>
  <c r="G40" i="99" s="1"/>
  <c r="D42" i="99"/>
  <c r="E42" i="99"/>
  <c r="G42" i="99" s="1"/>
  <c r="D43" i="99"/>
  <c r="E43" i="99"/>
  <c r="G43" i="99" s="1"/>
  <c r="D44" i="99"/>
  <c r="E44" i="99"/>
  <c r="G44" i="99" s="1"/>
  <c r="D45" i="99"/>
  <c r="E45" i="99"/>
  <c r="G45" i="99" s="1"/>
  <c r="D46" i="99"/>
  <c r="E46" i="99"/>
  <c r="G46" i="99" s="1"/>
  <c r="D47" i="99"/>
  <c r="E47" i="99"/>
  <c r="G47" i="99" s="1"/>
  <c r="D48" i="99"/>
  <c r="E48" i="99"/>
  <c r="G48" i="99" s="1"/>
  <c r="D49" i="99"/>
  <c r="E49" i="99"/>
  <c r="G49" i="99" s="1"/>
  <c r="D50" i="99"/>
  <c r="E50" i="99"/>
  <c r="G50" i="99" s="1"/>
  <c r="D51" i="99"/>
  <c r="E51" i="99"/>
  <c r="G51" i="99" s="1"/>
  <c r="D54" i="99"/>
  <c r="E54" i="99"/>
  <c r="G54" i="99" s="1"/>
  <c r="D55" i="99"/>
  <c r="E55" i="99"/>
  <c r="G55" i="99" s="1"/>
  <c r="D56" i="99"/>
  <c r="E56" i="99"/>
  <c r="G56" i="99" s="1"/>
  <c r="D57" i="99"/>
  <c r="E57" i="99"/>
  <c r="G57" i="99" s="1"/>
  <c r="D60" i="99"/>
  <c r="E60" i="99"/>
  <c r="G60" i="99" s="1"/>
  <c r="D17" i="99"/>
  <c r="E17" i="99"/>
  <c r="G17" i="99" s="1"/>
  <c r="D18" i="99"/>
  <c r="E18" i="99"/>
  <c r="G18" i="99" s="1"/>
  <c r="D19" i="99"/>
  <c r="E19" i="99"/>
  <c r="G19" i="99" s="1"/>
  <c r="D20" i="99"/>
  <c r="E20" i="99"/>
  <c r="G20" i="99" s="1"/>
  <c r="D61" i="99"/>
  <c r="E61" i="99"/>
  <c r="G61" i="99" s="1"/>
  <c r="D63" i="99"/>
  <c r="E63" i="99"/>
  <c r="D64" i="99"/>
  <c r="E64" i="99"/>
  <c r="D65" i="99"/>
  <c r="E65" i="99"/>
  <c r="D66" i="99"/>
  <c r="E66" i="99"/>
  <c r="D67" i="99"/>
  <c r="E67" i="99"/>
  <c r="D68" i="99"/>
  <c r="E68" i="99"/>
  <c r="D69" i="99"/>
  <c r="E69" i="99"/>
  <c r="D70" i="99"/>
  <c r="E70" i="99"/>
  <c r="E72" i="96"/>
  <c r="E75" i="96"/>
  <c r="E78" i="96"/>
  <c r="E123" i="96" s="1"/>
  <c r="E81" i="96"/>
  <c r="E84" i="96"/>
  <c r="E87" i="96"/>
  <c r="E90" i="96"/>
  <c r="E93" i="96"/>
  <c r="E110" i="96" s="1"/>
  <c r="E96" i="96"/>
  <c r="E129" i="96" s="1"/>
  <c r="E99" i="96"/>
  <c r="E130" i="96" s="1"/>
  <c r="E102" i="96"/>
  <c r="E131" i="96" s="1"/>
  <c r="E73" i="96"/>
  <c r="E76" i="96"/>
  <c r="E79" i="96"/>
  <c r="E82" i="96"/>
  <c r="E85" i="96"/>
  <c r="E88" i="96"/>
  <c r="E91" i="96"/>
  <c r="E94" i="96"/>
  <c r="E97" i="96"/>
  <c r="E100" i="96"/>
  <c r="E103" i="96"/>
  <c r="E74" i="96"/>
  <c r="E77" i="96"/>
  <c r="E80" i="96"/>
  <c r="E83" i="96"/>
  <c r="E86" i="96"/>
  <c r="E89" i="96"/>
  <c r="E92" i="96"/>
  <c r="E95" i="96"/>
  <c r="E98" i="96"/>
  <c r="E101" i="96"/>
  <c r="E104" i="96"/>
  <c r="E122" i="96"/>
  <c r="E124" i="96"/>
  <c r="E125" i="96"/>
  <c r="E126" i="96"/>
  <c r="E127" i="96"/>
  <c r="E105" i="96"/>
  <c r="E132" i="96" s="1"/>
  <c r="D9" i="96"/>
  <c r="D10" i="96"/>
  <c r="D11" i="96"/>
  <c r="D12" i="96"/>
  <c r="D13" i="96"/>
  <c r="D16" i="96"/>
  <c r="D14" i="96"/>
  <c r="D21" i="96"/>
  <c r="D22" i="96"/>
  <c r="D23" i="96"/>
  <c r="D24" i="96"/>
  <c r="D25" i="96"/>
  <c r="D26" i="96"/>
  <c r="D27" i="96"/>
  <c r="D28" i="96"/>
  <c r="D29" i="96"/>
  <c r="D30" i="96"/>
  <c r="D31" i="96"/>
  <c r="D33" i="96"/>
  <c r="D34" i="96"/>
  <c r="D35" i="96"/>
  <c r="D36" i="96"/>
  <c r="D37" i="96"/>
  <c r="D38" i="96"/>
  <c r="D39" i="96"/>
  <c r="D40" i="96"/>
  <c r="D42" i="96"/>
  <c r="D43" i="96"/>
  <c r="D44" i="96"/>
  <c r="D45" i="96"/>
  <c r="D46" i="96"/>
  <c r="D47" i="96"/>
  <c r="D48" i="96"/>
  <c r="D49" i="96"/>
  <c r="D50" i="96"/>
  <c r="D51" i="96"/>
  <c r="D54" i="96"/>
  <c r="D55" i="96"/>
  <c r="D56" i="96"/>
  <c r="D57" i="96"/>
  <c r="D60" i="96"/>
  <c r="D17" i="96"/>
  <c r="D18" i="96"/>
  <c r="D19" i="96"/>
  <c r="D20" i="96"/>
  <c r="D61" i="96"/>
  <c r="E112" i="96"/>
  <c r="F63" i="96"/>
  <c r="F65" i="96"/>
  <c r="F69" i="96"/>
  <c r="E72" i="123"/>
  <c r="E121" i="123" s="1"/>
  <c r="E75" i="123"/>
  <c r="E122" i="123" s="1"/>
  <c r="E78" i="123"/>
  <c r="E123" i="123" s="1"/>
  <c r="E81" i="123"/>
  <c r="E124" i="123" s="1"/>
  <c r="E84" i="123"/>
  <c r="E125" i="123" s="1"/>
  <c r="E87" i="123"/>
  <c r="E90" i="123"/>
  <c r="E93" i="123"/>
  <c r="E96" i="123"/>
  <c r="E129" i="123" s="1"/>
  <c r="E99" i="123"/>
  <c r="E130" i="123" s="1"/>
  <c r="E102" i="123"/>
  <c r="E131" i="123" s="1"/>
  <c r="E73" i="123"/>
  <c r="E76" i="123"/>
  <c r="E79" i="123"/>
  <c r="E82" i="123"/>
  <c r="E85" i="123"/>
  <c r="E88" i="123"/>
  <c r="E91" i="123"/>
  <c r="E94" i="123"/>
  <c r="E97" i="123"/>
  <c r="E100" i="123"/>
  <c r="E103" i="123"/>
  <c r="E106" i="123"/>
  <c r="E74" i="123"/>
  <c r="E77" i="123"/>
  <c r="E80" i="123"/>
  <c r="E83" i="123"/>
  <c r="E86" i="123"/>
  <c r="E89" i="123"/>
  <c r="E92" i="123"/>
  <c r="E95" i="123"/>
  <c r="E98" i="123"/>
  <c r="E101" i="123"/>
  <c r="E104" i="123"/>
  <c r="E107" i="123"/>
  <c r="E110" i="123"/>
  <c r="E113" i="123"/>
  <c r="E126" i="123"/>
  <c r="E127" i="123"/>
  <c r="E128" i="123"/>
  <c r="E105" i="123"/>
  <c r="E132" i="123" s="1"/>
  <c r="E108" i="123"/>
  <c r="E111" i="123"/>
  <c r="D9" i="123"/>
  <c r="D10" i="123"/>
  <c r="D11" i="123"/>
  <c r="D12" i="123"/>
  <c r="D13" i="123"/>
  <c r="D16" i="123"/>
  <c r="D14" i="123"/>
  <c r="D21" i="123"/>
  <c r="D22" i="123"/>
  <c r="D23" i="123"/>
  <c r="D24" i="123"/>
  <c r="D25" i="123"/>
  <c r="D26" i="123"/>
  <c r="D27" i="123"/>
  <c r="D28" i="123"/>
  <c r="D29" i="123"/>
  <c r="D30" i="123"/>
  <c r="F30" i="123" s="1"/>
  <c r="D31" i="123"/>
  <c r="D33" i="123"/>
  <c r="D34" i="123"/>
  <c r="F34" i="123" s="1"/>
  <c r="D35" i="123"/>
  <c r="D36" i="123"/>
  <c r="D37" i="123"/>
  <c r="D38" i="123"/>
  <c r="D39" i="123"/>
  <c r="F39" i="123" s="1"/>
  <c r="D40" i="123"/>
  <c r="D42" i="123"/>
  <c r="D43" i="123"/>
  <c r="F43" i="123" s="1"/>
  <c r="D44" i="123"/>
  <c r="D45" i="123"/>
  <c r="D46" i="123"/>
  <c r="D47" i="123"/>
  <c r="D48" i="123"/>
  <c r="F48" i="123" s="1"/>
  <c r="D49" i="123"/>
  <c r="D50" i="123"/>
  <c r="D51" i="123"/>
  <c r="F51" i="123" s="1"/>
  <c r="D54" i="123"/>
  <c r="D55" i="123"/>
  <c r="D56" i="123"/>
  <c r="D57" i="123"/>
  <c r="D60" i="123"/>
  <c r="F60" i="123" s="1"/>
  <c r="D17" i="123"/>
  <c r="D18" i="123"/>
  <c r="D19" i="123"/>
  <c r="F19" i="123" s="1"/>
  <c r="D20" i="123"/>
  <c r="D61" i="123"/>
  <c r="E109" i="123"/>
  <c r="E112" i="123"/>
  <c r="F63" i="123"/>
  <c r="F65" i="123"/>
  <c r="F67" i="123"/>
  <c r="F69" i="123"/>
  <c r="F70" i="123"/>
  <c r="E72" i="117"/>
  <c r="E75" i="117"/>
  <c r="E78" i="117"/>
  <c r="E123" i="117" s="1"/>
  <c r="E81" i="117"/>
  <c r="E124" i="117" s="1"/>
  <c r="E84" i="117"/>
  <c r="E125" i="117" s="1"/>
  <c r="E87" i="117"/>
  <c r="E90" i="117"/>
  <c r="E127" i="117" s="1"/>
  <c r="E93" i="117"/>
  <c r="E106" i="117" s="1"/>
  <c r="E96" i="117"/>
  <c r="E129" i="117" s="1"/>
  <c r="E99" i="117"/>
  <c r="E130" i="117" s="1"/>
  <c r="E102" i="117"/>
  <c r="E131" i="117" s="1"/>
  <c r="E73" i="117"/>
  <c r="E76" i="117"/>
  <c r="E79" i="117"/>
  <c r="E82" i="117"/>
  <c r="E85" i="117"/>
  <c r="E88" i="117"/>
  <c r="E91" i="117"/>
  <c r="E94" i="117"/>
  <c r="E97" i="117"/>
  <c r="E100" i="117"/>
  <c r="E103" i="117"/>
  <c r="E74" i="117"/>
  <c r="E77" i="117"/>
  <c r="E80" i="117"/>
  <c r="E83" i="117"/>
  <c r="E86" i="117"/>
  <c r="E89" i="117"/>
  <c r="E92" i="117"/>
  <c r="E95" i="117"/>
  <c r="E98" i="117"/>
  <c r="E101" i="117"/>
  <c r="E104" i="117"/>
  <c r="E126" i="117"/>
  <c r="D9" i="117"/>
  <c r="F9" i="117" s="1"/>
  <c r="D10" i="117"/>
  <c r="D11" i="117"/>
  <c r="D12" i="117"/>
  <c r="D13" i="117"/>
  <c r="D16" i="117"/>
  <c r="D14" i="117"/>
  <c r="D21" i="117"/>
  <c r="D22" i="117"/>
  <c r="D23" i="117"/>
  <c r="D24" i="117"/>
  <c r="D25" i="117"/>
  <c r="D26" i="117"/>
  <c r="D27" i="117"/>
  <c r="D28" i="117"/>
  <c r="D29" i="117"/>
  <c r="D30" i="117"/>
  <c r="D31" i="117"/>
  <c r="D33" i="117"/>
  <c r="F33" i="117" s="1"/>
  <c r="D34" i="117"/>
  <c r="D35" i="117"/>
  <c r="D36" i="117"/>
  <c r="D37" i="117"/>
  <c r="D38" i="117"/>
  <c r="D39" i="117"/>
  <c r="D40" i="117"/>
  <c r="F40" i="117" s="1"/>
  <c r="D42" i="117"/>
  <c r="D43" i="117"/>
  <c r="D44" i="117"/>
  <c r="D45" i="117"/>
  <c r="D46" i="117"/>
  <c r="D47" i="117"/>
  <c r="D48" i="117"/>
  <c r="D49" i="117"/>
  <c r="F49" i="117" s="1"/>
  <c r="D50" i="117"/>
  <c r="D51" i="117"/>
  <c r="D54" i="117"/>
  <c r="D55" i="117"/>
  <c r="D56" i="117"/>
  <c r="D57" i="117"/>
  <c r="D60" i="117"/>
  <c r="F60" i="117" s="1"/>
  <c r="D17" i="117"/>
  <c r="D18" i="117"/>
  <c r="D19" i="117"/>
  <c r="D20" i="117"/>
  <c r="D61" i="117"/>
  <c r="F63" i="117"/>
  <c r="F65" i="117"/>
  <c r="F67" i="117"/>
  <c r="F69" i="117"/>
  <c r="E72" i="97"/>
  <c r="E75" i="97"/>
  <c r="E78" i="97"/>
  <c r="E81" i="97"/>
  <c r="E84" i="97"/>
  <c r="E87" i="97"/>
  <c r="E126" i="97" s="1"/>
  <c r="E90" i="97"/>
  <c r="E93" i="97"/>
  <c r="E107" i="97" s="1"/>
  <c r="E96" i="97"/>
  <c r="E129" i="97" s="1"/>
  <c r="E99" i="97"/>
  <c r="E130" i="97" s="1"/>
  <c r="E102" i="97"/>
  <c r="E131" i="97" s="1"/>
  <c r="E73" i="97"/>
  <c r="E76" i="97"/>
  <c r="E79" i="97"/>
  <c r="E82" i="97"/>
  <c r="E85" i="97"/>
  <c r="E88" i="97"/>
  <c r="E91" i="97"/>
  <c r="E94" i="97"/>
  <c r="E97" i="97"/>
  <c r="E100" i="97"/>
  <c r="E103" i="97"/>
  <c r="E74" i="97"/>
  <c r="E77" i="97"/>
  <c r="E80" i="97"/>
  <c r="E83" i="97"/>
  <c r="E86" i="97"/>
  <c r="E89" i="97"/>
  <c r="E92" i="97"/>
  <c r="E95" i="97"/>
  <c r="E98" i="97"/>
  <c r="E101" i="97"/>
  <c r="E104" i="97"/>
  <c r="E122" i="97"/>
  <c r="E123" i="97"/>
  <c r="E124" i="97"/>
  <c r="E125" i="97"/>
  <c r="E127" i="97"/>
  <c r="D9" i="97"/>
  <c r="D10" i="97"/>
  <c r="D11" i="97"/>
  <c r="D12" i="97"/>
  <c r="F12" i="97" s="1"/>
  <c r="D13" i="97"/>
  <c r="D16" i="97"/>
  <c r="F16" i="97" s="1"/>
  <c r="D14" i="97"/>
  <c r="D21" i="97"/>
  <c r="D22" i="97"/>
  <c r="D23" i="97"/>
  <c r="D24" i="97"/>
  <c r="D25" i="97"/>
  <c r="D26" i="97"/>
  <c r="D27" i="97"/>
  <c r="F27" i="97" s="1"/>
  <c r="D28" i="97"/>
  <c r="D29" i="97"/>
  <c r="D30" i="97"/>
  <c r="D31" i="97"/>
  <c r="D33" i="97"/>
  <c r="D34" i="97"/>
  <c r="D35" i="97"/>
  <c r="D36" i="97"/>
  <c r="D37" i="97"/>
  <c r="D38" i="97"/>
  <c r="D39" i="97"/>
  <c r="D40" i="97"/>
  <c r="D42" i="97"/>
  <c r="D43" i="97"/>
  <c r="F43" i="97" s="1"/>
  <c r="D44" i="97"/>
  <c r="D45" i="97"/>
  <c r="D46" i="97"/>
  <c r="D47" i="97"/>
  <c r="D48" i="97"/>
  <c r="D49" i="97"/>
  <c r="D50" i="97"/>
  <c r="D51" i="97"/>
  <c r="F51" i="97" s="1"/>
  <c r="D54" i="97"/>
  <c r="D55" i="97"/>
  <c r="D56" i="97"/>
  <c r="D57" i="97"/>
  <c r="D60" i="97"/>
  <c r="D17" i="97"/>
  <c r="D18" i="97"/>
  <c r="D19" i="97"/>
  <c r="D20" i="97"/>
  <c r="D61" i="97"/>
  <c r="F8" i="97"/>
  <c r="F63" i="97"/>
  <c r="F67" i="97"/>
  <c r="F69" i="97"/>
  <c r="E72" i="98"/>
  <c r="E75" i="98"/>
  <c r="E78" i="98"/>
  <c r="E81" i="98"/>
  <c r="E124" i="98" s="1"/>
  <c r="E84" i="98"/>
  <c r="E125" i="98" s="1"/>
  <c r="E87" i="98"/>
  <c r="E126" i="98" s="1"/>
  <c r="E90" i="98"/>
  <c r="E127" i="98" s="1"/>
  <c r="E93" i="98"/>
  <c r="E113" i="98" s="1"/>
  <c r="E96" i="98"/>
  <c r="E129" i="98" s="1"/>
  <c r="E99" i="98"/>
  <c r="E130" i="98" s="1"/>
  <c r="E102" i="98"/>
  <c r="E73" i="98"/>
  <c r="E76" i="98"/>
  <c r="E79" i="98"/>
  <c r="E82" i="98"/>
  <c r="E85" i="98"/>
  <c r="E88" i="98"/>
  <c r="E91" i="98"/>
  <c r="E94" i="98"/>
  <c r="E97" i="98"/>
  <c r="E100" i="98"/>
  <c r="E103" i="98"/>
  <c r="E74" i="98"/>
  <c r="E77" i="98"/>
  <c r="E80" i="98"/>
  <c r="E83" i="98"/>
  <c r="E86" i="98"/>
  <c r="E89" i="98"/>
  <c r="E92" i="98"/>
  <c r="E95" i="98"/>
  <c r="E98" i="98"/>
  <c r="E101" i="98"/>
  <c r="E104" i="98"/>
  <c r="E122" i="98"/>
  <c r="E123" i="98"/>
  <c r="E131" i="98"/>
  <c r="D9" i="98"/>
  <c r="D10" i="98"/>
  <c r="D11" i="98"/>
  <c r="D12" i="98"/>
  <c r="D13" i="98"/>
  <c r="D16" i="98"/>
  <c r="D14" i="98"/>
  <c r="D21" i="98"/>
  <c r="D22" i="98"/>
  <c r="D23" i="98"/>
  <c r="D24" i="98"/>
  <c r="D25" i="98"/>
  <c r="D26" i="98"/>
  <c r="D27" i="98"/>
  <c r="D28" i="98"/>
  <c r="D29" i="98"/>
  <c r="D30" i="98"/>
  <c r="D31" i="98"/>
  <c r="D33" i="98"/>
  <c r="D34" i="98"/>
  <c r="D35" i="98"/>
  <c r="D36" i="98"/>
  <c r="F36" i="98" s="1"/>
  <c r="D37" i="98"/>
  <c r="F37" i="98" s="1"/>
  <c r="D38" i="98"/>
  <c r="D39" i="98"/>
  <c r="D40" i="98"/>
  <c r="D42" i="98"/>
  <c r="D43" i="98"/>
  <c r="D44" i="98"/>
  <c r="D45" i="98"/>
  <c r="D46" i="98"/>
  <c r="F46" i="98" s="1"/>
  <c r="D47" i="98"/>
  <c r="D48" i="98"/>
  <c r="D49" i="98"/>
  <c r="D50" i="98"/>
  <c r="D51" i="98"/>
  <c r="D54" i="98"/>
  <c r="D55" i="98"/>
  <c r="F55" i="98" s="1"/>
  <c r="D56" i="98"/>
  <c r="F56" i="98" s="1"/>
  <c r="D57" i="98"/>
  <c r="D60" i="98"/>
  <c r="D17" i="98"/>
  <c r="D18" i="98"/>
  <c r="D19" i="98"/>
  <c r="D20" i="98"/>
  <c r="F20" i="98" s="1"/>
  <c r="D61" i="98"/>
  <c r="F63" i="98"/>
  <c r="F65" i="98"/>
  <c r="F67" i="98"/>
  <c r="F69" i="98"/>
  <c r="E72" i="113"/>
  <c r="E75" i="113"/>
  <c r="E78" i="113"/>
  <c r="E81" i="113"/>
  <c r="E124" i="113" s="1"/>
  <c r="E84" i="113"/>
  <c r="E87" i="113"/>
  <c r="E126" i="113" s="1"/>
  <c r="E90" i="113"/>
  <c r="E127" i="113" s="1"/>
  <c r="E93" i="113"/>
  <c r="E107" i="113" s="1"/>
  <c r="E96" i="113"/>
  <c r="E129" i="113" s="1"/>
  <c r="E99" i="113"/>
  <c r="E130" i="113" s="1"/>
  <c r="E102" i="113"/>
  <c r="E131" i="113" s="1"/>
  <c r="E73" i="113"/>
  <c r="E76" i="113"/>
  <c r="E79" i="113"/>
  <c r="E82" i="113"/>
  <c r="E85" i="113"/>
  <c r="E88" i="113"/>
  <c r="E91" i="113"/>
  <c r="E94" i="113"/>
  <c r="E97" i="113"/>
  <c r="E100" i="113"/>
  <c r="E103" i="113"/>
  <c r="E74" i="113"/>
  <c r="E77" i="113"/>
  <c r="E80" i="113"/>
  <c r="E83" i="113"/>
  <c r="E86" i="113"/>
  <c r="E89" i="113"/>
  <c r="E92" i="113"/>
  <c r="E95" i="113"/>
  <c r="E98" i="113"/>
  <c r="E101" i="113"/>
  <c r="E104" i="113"/>
  <c r="E123" i="113"/>
  <c r="E125" i="113"/>
  <c r="D9" i="113"/>
  <c r="F9" i="113" s="1"/>
  <c r="D10" i="113"/>
  <c r="F10" i="113" s="1"/>
  <c r="D11" i="113"/>
  <c r="D12" i="113"/>
  <c r="D13" i="113"/>
  <c r="D14" i="113"/>
  <c r="D21" i="113"/>
  <c r="D22" i="113"/>
  <c r="F22" i="113" s="1"/>
  <c r="D23" i="113"/>
  <c r="D24" i="113"/>
  <c r="D25" i="113"/>
  <c r="D26" i="113"/>
  <c r="D27" i="113"/>
  <c r="D28" i="113"/>
  <c r="D29" i="113"/>
  <c r="D30" i="113"/>
  <c r="D31" i="113"/>
  <c r="D33" i="113"/>
  <c r="D34" i="113"/>
  <c r="D35" i="113"/>
  <c r="D36" i="113"/>
  <c r="D37" i="113"/>
  <c r="D38" i="113"/>
  <c r="D39" i="113"/>
  <c r="F39" i="113" s="1"/>
  <c r="D40" i="113"/>
  <c r="D42" i="113"/>
  <c r="D43" i="113"/>
  <c r="F43" i="113" s="1"/>
  <c r="D44" i="113"/>
  <c r="D45" i="113"/>
  <c r="D46" i="113"/>
  <c r="D47" i="113"/>
  <c r="F47" i="113" s="1"/>
  <c r="D48" i="113"/>
  <c r="D49" i="113"/>
  <c r="D50" i="113"/>
  <c r="D51" i="113"/>
  <c r="D54" i="113"/>
  <c r="D55" i="113"/>
  <c r="D56" i="113"/>
  <c r="D57" i="113"/>
  <c r="F57" i="113" s="1"/>
  <c r="D60" i="113"/>
  <c r="D17" i="113"/>
  <c r="D18" i="113"/>
  <c r="D19" i="113"/>
  <c r="D20" i="113"/>
  <c r="D61" i="113"/>
  <c r="F63" i="113"/>
  <c r="F65" i="113"/>
  <c r="F67" i="113"/>
  <c r="F69" i="113"/>
  <c r="E72" i="118"/>
  <c r="E75" i="118"/>
  <c r="E122" i="118" s="1"/>
  <c r="E78" i="118"/>
  <c r="E123" i="118" s="1"/>
  <c r="E81" i="118"/>
  <c r="E84" i="118"/>
  <c r="E87" i="118"/>
  <c r="E126" i="118" s="1"/>
  <c r="E90" i="118"/>
  <c r="E127" i="118" s="1"/>
  <c r="E93" i="118"/>
  <c r="E113" i="118" s="1"/>
  <c r="E96" i="118"/>
  <c r="E129" i="118" s="1"/>
  <c r="E99" i="118"/>
  <c r="E130" i="118" s="1"/>
  <c r="E102" i="118"/>
  <c r="E131" i="118" s="1"/>
  <c r="E73" i="118"/>
  <c r="E76" i="118"/>
  <c r="E79" i="118"/>
  <c r="E82" i="118"/>
  <c r="E85" i="118"/>
  <c r="E88" i="118"/>
  <c r="E91" i="118"/>
  <c r="E94" i="118"/>
  <c r="E97" i="118"/>
  <c r="E100" i="118"/>
  <c r="E103" i="118"/>
  <c r="E74" i="118"/>
  <c r="E77" i="118"/>
  <c r="E80" i="118"/>
  <c r="E83" i="118"/>
  <c r="E86" i="118"/>
  <c r="E89" i="118"/>
  <c r="E92" i="118"/>
  <c r="E95" i="118"/>
  <c r="E98" i="118"/>
  <c r="E101" i="118"/>
  <c r="E104" i="118"/>
  <c r="E124" i="118"/>
  <c r="E125" i="118"/>
  <c r="E128" i="118"/>
  <c r="D9" i="118"/>
  <c r="D10" i="118"/>
  <c r="D11" i="118"/>
  <c r="D12" i="118"/>
  <c r="D13" i="118"/>
  <c r="D16" i="118"/>
  <c r="D14" i="118"/>
  <c r="D21" i="118"/>
  <c r="F21" i="118" s="1"/>
  <c r="D22" i="118"/>
  <c r="F22" i="118" s="1"/>
  <c r="D23" i="118"/>
  <c r="F23" i="118" s="1"/>
  <c r="D24" i="118"/>
  <c r="F24" i="118" s="1"/>
  <c r="D25" i="118"/>
  <c r="D26" i="118"/>
  <c r="D27" i="118"/>
  <c r="D28" i="118"/>
  <c r="D29" i="118"/>
  <c r="F29" i="118" s="1"/>
  <c r="D30" i="118"/>
  <c r="F30" i="118" s="1"/>
  <c r="D31" i="118"/>
  <c r="F31" i="118" s="1"/>
  <c r="D33" i="118"/>
  <c r="D34" i="118"/>
  <c r="D35" i="118"/>
  <c r="D36" i="118"/>
  <c r="D37" i="118"/>
  <c r="D38" i="118"/>
  <c r="F38" i="118" s="1"/>
  <c r="D39" i="118"/>
  <c r="F39" i="118" s="1"/>
  <c r="D40" i="118"/>
  <c r="F40" i="118" s="1"/>
  <c r="D42" i="118"/>
  <c r="F42" i="118" s="1"/>
  <c r="D43" i="118"/>
  <c r="D44" i="118"/>
  <c r="D45" i="118"/>
  <c r="D46" i="118"/>
  <c r="D47" i="118"/>
  <c r="F47" i="118" s="1"/>
  <c r="D48" i="118"/>
  <c r="D49" i="118"/>
  <c r="F49" i="118" s="1"/>
  <c r="D50" i="118"/>
  <c r="F50" i="118" s="1"/>
  <c r="D51" i="118"/>
  <c r="D54" i="118"/>
  <c r="D55" i="118"/>
  <c r="D56" i="118"/>
  <c r="D57" i="118"/>
  <c r="F57" i="118" s="1"/>
  <c r="D60" i="118"/>
  <c r="F60" i="118" s="1"/>
  <c r="D17" i="118"/>
  <c r="D18" i="118"/>
  <c r="F18" i="118" s="1"/>
  <c r="D19" i="118"/>
  <c r="F19" i="118" s="1"/>
  <c r="D20" i="118"/>
  <c r="D61" i="118"/>
  <c r="D8" i="118"/>
  <c r="E8" i="118"/>
  <c r="E112" i="118"/>
  <c r="D63" i="118"/>
  <c r="E63" i="118"/>
  <c r="D64" i="118"/>
  <c r="E64" i="118"/>
  <c r="D65" i="118"/>
  <c r="E65" i="118"/>
  <c r="D66" i="118"/>
  <c r="F66" i="118" s="1"/>
  <c r="E66" i="118"/>
  <c r="D67" i="118"/>
  <c r="E67" i="118"/>
  <c r="D68" i="118"/>
  <c r="E68" i="118"/>
  <c r="D69" i="118"/>
  <c r="E69" i="118"/>
  <c r="D70" i="118"/>
  <c r="F70" i="118" s="1"/>
  <c r="E70" i="118"/>
  <c r="E72" i="119"/>
  <c r="E75" i="119"/>
  <c r="E78" i="119"/>
  <c r="E81" i="119"/>
  <c r="E84" i="119"/>
  <c r="E125" i="119" s="1"/>
  <c r="E87" i="119"/>
  <c r="E90" i="119"/>
  <c r="E127" i="119" s="1"/>
  <c r="E93" i="119"/>
  <c r="E113" i="119" s="1"/>
  <c r="E96" i="119"/>
  <c r="E129" i="119" s="1"/>
  <c r="E99" i="119"/>
  <c r="E130" i="119" s="1"/>
  <c r="E102" i="119"/>
  <c r="E73" i="119"/>
  <c r="E76" i="119"/>
  <c r="E79" i="119"/>
  <c r="E82" i="119"/>
  <c r="E85" i="119"/>
  <c r="E88" i="119"/>
  <c r="E91" i="119"/>
  <c r="E94" i="119"/>
  <c r="E97" i="119"/>
  <c r="E100" i="119"/>
  <c r="E103" i="119"/>
  <c r="E74" i="119"/>
  <c r="E77" i="119"/>
  <c r="E80" i="119"/>
  <c r="E83" i="119"/>
  <c r="E86" i="119"/>
  <c r="E89" i="119"/>
  <c r="E92" i="119"/>
  <c r="E95" i="119"/>
  <c r="E98" i="119"/>
  <c r="E101" i="119"/>
  <c r="E104" i="119"/>
  <c r="E122" i="119"/>
  <c r="E123" i="119"/>
  <c r="E124" i="119"/>
  <c r="E126" i="119"/>
  <c r="E131" i="119"/>
  <c r="E108" i="119"/>
  <c r="D9" i="119"/>
  <c r="D10" i="119"/>
  <c r="D11" i="119"/>
  <c r="D12" i="119"/>
  <c r="D13" i="119"/>
  <c r="D16" i="119"/>
  <c r="D14" i="119"/>
  <c r="D21" i="119"/>
  <c r="D22" i="119"/>
  <c r="D23" i="119"/>
  <c r="D24" i="119"/>
  <c r="D25" i="119"/>
  <c r="D26" i="119"/>
  <c r="D27" i="119"/>
  <c r="D28" i="119"/>
  <c r="D29" i="119"/>
  <c r="D30" i="119"/>
  <c r="D31" i="119"/>
  <c r="F31" i="119" s="1"/>
  <c r="D33" i="119"/>
  <c r="F33" i="119" s="1"/>
  <c r="D34" i="119"/>
  <c r="F34" i="119" s="1"/>
  <c r="D35" i="119"/>
  <c r="D36" i="119"/>
  <c r="D37" i="119"/>
  <c r="D38" i="119"/>
  <c r="D39" i="119"/>
  <c r="D40" i="119"/>
  <c r="F40" i="119" s="1"/>
  <c r="D43" i="119"/>
  <c r="F43" i="119" s="1"/>
  <c r="D44" i="119"/>
  <c r="D45" i="119"/>
  <c r="D46" i="119"/>
  <c r="F46" i="119" s="1"/>
  <c r="D47" i="119"/>
  <c r="D48" i="119"/>
  <c r="D49" i="119"/>
  <c r="D50" i="119"/>
  <c r="D51" i="119"/>
  <c r="D54" i="119"/>
  <c r="D55" i="119"/>
  <c r="D56" i="119"/>
  <c r="F56" i="119" s="1"/>
  <c r="D57" i="119"/>
  <c r="D60" i="119"/>
  <c r="D17" i="119"/>
  <c r="D18" i="119"/>
  <c r="D19" i="119"/>
  <c r="D20" i="119"/>
  <c r="D61" i="119"/>
  <c r="D8" i="119"/>
  <c r="E8" i="119"/>
  <c r="E112" i="119"/>
  <c r="D63" i="119"/>
  <c r="E63" i="119"/>
  <c r="D64" i="119"/>
  <c r="E64" i="119"/>
  <c r="D65" i="119"/>
  <c r="E65" i="119"/>
  <c r="D66" i="119"/>
  <c r="E66" i="119"/>
  <c r="D67" i="119"/>
  <c r="E67" i="119"/>
  <c r="D68" i="119"/>
  <c r="E68" i="119"/>
  <c r="D69" i="119"/>
  <c r="E69" i="119"/>
  <c r="D70" i="119"/>
  <c r="E70" i="119"/>
  <c r="E93" i="120"/>
  <c r="E108" i="120" s="1"/>
  <c r="E9" i="120"/>
  <c r="HP25" i="94" s="1"/>
  <c r="E10" i="120"/>
  <c r="E11" i="120"/>
  <c r="E12" i="120"/>
  <c r="E13" i="120"/>
  <c r="E16" i="120"/>
  <c r="G16" i="120" s="1"/>
  <c r="E14" i="120"/>
  <c r="G14" i="120" s="1"/>
  <c r="E21" i="120"/>
  <c r="G21" i="120" s="1"/>
  <c r="E22" i="120"/>
  <c r="G22" i="120" s="1"/>
  <c r="E23" i="120"/>
  <c r="G23" i="120" s="1"/>
  <c r="E24" i="120"/>
  <c r="G24" i="120" s="1"/>
  <c r="E25" i="120"/>
  <c r="G25" i="120" s="1"/>
  <c r="E26" i="120"/>
  <c r="G26" i="120" s="1"/>
  <c r="E27" i="120"/>
  <c r="G27" i="120" s="1"/>
  <c r="E28" i="120"/>
  <c r="G28" i="120" s="1"/>
  <c r="E29" i="120"/>
  <c r="G29" i="120" s="1"/>
  <c r="E30" i="120"/>
  <c r="G30" i="120" s="1"/>
  <c r="E31" i="120"/>
  <c r="G31" i="120" s="1"/>
  <c r="E33" i="120"/>
  <c r="G33" i="120" s="1"/>
  <c r="E34" i="120"/>
  <c r="G34" i="120" s="1"/>
  <c r="E35" i="120"/>
  <c r="G35" i="120" s="1"/>
  <c r="E36" i="120"/>
  <c r="G36" i="120" s="1"/>
  <c r="E37" i="120"/>
  <c r="G37" i="120" s="1"/>
  <c r="E38" i="120"/>
  <c r="G38" i="120" s="1"/>
  <c r="E39" i="120"/>
  <c r="G39" i="120" s="1"/>
  <c r="E40" i="120"/>
  <c r="G40" i="120" s="1"/>
  <c r="E42" i="120"/>
  <c r="G42" i="120" s="1"/>
  <c r="E43" i="120"/>
  <c r="G43" i="120" s="1"/>
  <c r="E44" i="120"/>
  <c r="G44" i="120" s="1"/>
  <c r="E45" i="120"/>
  <c r="G45" i="120" s="1"/>
  <c r="E46" i="120"/>
  <c r="G46" i="120" s="1"/>
  <c r="E47" i="120"/>
  <c r="G47" i="120" s="1"/>
  <c r="E48" i="120"/>
  <c r="G48" i="120" s="1"/>
  <c r="E49" i="120"/>
  <c r="G49" i="120" s="1"/>
  <c r="E50" i="120"/>
  <c r="G50" i="120" s="1"/>
  <c r="E51" i="120"/>
  <c r="G51" i="120" s="1"/>
  <c r="E54" i="120"/>
  <c r="G54" i="120" s="1"/>
  <c r="E55" i="120"/>
  <c r="G55" i="120" s="1"/>
  <c r="E56" i="120"/>
  <c r="G56" i="120" s="1"/>
  <c r="E57" i="120"/>
  <c r="G57" i="120" s="1"/>
  <c r="E17" i="120"/>
  <c r="G17" i="120" s="1"/>
  <c r="E18" i="120"/>
  <c r="G18" i="120" s="1"/>
  <c r="E19" i="120"/>
  <c r="G19" i="120" s="1"/>
  <c r="E20" i="120"/>
  <c r="G20" i="120" s="1"/>
  <c r="E75" i="120"/>
  <c r="E78" i="120"/>
  <c r="E123" i="120" s="1"/>
  <c r="E81" i="120"/>
  <c r="E124" i="120" s="1"/>
  <c r="E84" i="120"/>
  <c r="E125" i="120" s="1"/>
  <c r="E87" i="120"/>
  <c r="E126" i="120" s="1"/>
  <c r="E90" i="120"/>
  <c r="E96" i="120"/>
  <c r="E99" i="120"/>
  <c r="E130" i="120" s="1"/>
  <c r="E102" i="120"/>
  <c r="E131" i="120" s="1"/>
  <c r="E111" i="120"/>
  <c r="E134" i="120" s="1"/>
  <c r="I134" i="120" s="1"/>
  <c r="E73" i="120"/>
  <c r="E76" i="120"/>
  <c r="E79" i="120"/>
  <c r="E82" i="120"/>
  <c r="E85" i="120"/>
  <c r="E88" i="120"/>
  <c r="E91" i="120"/>
  <c r="E94" i="120"/>
  <c r="E97" i="120"/>
  <c r="E100" i="120"/>
  <c r="E103" i="120"/>
  <c r="E112" i="120"/>
  <c r="E74" i="120"/>
  <c r="E77" i="120"/>
  <c r="E80" i="120"/>
  <c r="E83" i="120"/>
  <c r="E86" i="120"/>
  <c r="E89" i="120"/>
  <c r="E92" i="120"/>
  <c r="E95" i="120"/>
  <c r="E98" i="120"/>
  <c r="E101" i="120"/>
  <c r="E104" i="120"/>
  <c r="D115" i="86"/>
  <c r="F115" i="86" s="1"/>
  <c r="D4" i="86"/>
  <c r="E4" i="86"/>
  <c r="F115" i="99"/>
  <c r="E4" i="99"/>
  <c r="F4" i="99" s="1"/>
  <c r="F5" i="99" s="1"/>
  <c r="F115" i="113"/>
  <c r="E4" i="113"/>
  <c r="F4" i="113" s="1"/>
  <c r="F5" i="113" s="1"/>
  <c r="F115" i="118"/>
  <c r="D4" i="118"/>
  <c r="E4" i="118"/>
  <c r="F115" i="119"/>
  <c r="D4" i="119"/>
  <c r="E4" i="119"/>
  <c r="D9" i="120"/>
  <c r="D10" i="120"/>
  <c r="D11" i="120"/>
  <c r="D12" i="120"/>
  <c r="F12" i="120" s="1"/>
  <c r="D13" i="120"/>
  <c r="D16" i="120"/>
  <c r="D14" i="120"/>
  <c r="D21" i="120"/>
  <c r="D22" i="120"/>
  <c r="D23" i="120"/>
  <c r="D24" i="120"/>
  <c r="F24" i="120" s="1"/>
  <c r="D25" i="120"/>
  <c r="D26" i="120"/>
  <c r="D27" i="120"/>
  <c r="D28" i="120"/>
  <c r="D29" i="120"/>
  <c r="D30" i="120"/>
  <c r="D31" i="120"/>
  <c r="D33" i="120"/>
  <c r="F33" i="120" s="1"/>
  <c r="D34" i="120"/>
  <c r="D35" i="120"/>
  <c r="D36" i="120"/>
  <c r="D37" i="120"/>
  <c r="D38" i="120"/>
  <c r="D39" i="120"/>
  <c r="D40" i="120"/>
  <c r="D42" i="120"/>
  <c r="D43" i="120"/>
  <c r="D44" i="120"/>
  <c r="D45" i="120"/>
  <c r="D46" i="120"/>
  <c r="D47" i="120"/>
  <c r="D48" i="120"/>
  <c r="D49" i="120"/>
  <c r="D50" i="120"/>
  <c r="D51" i="120"/>
  <c r="D54" i="120"/>
  <c r="D55" i="120"/>
  <c r="D56" i="120"/>
  <c r="D57" i="120"/>
  <c r="D17" i="120"/>
  <c r="D18" i="120"/>
  <c r="D19" i="120"/>
  <c r="D20" i="120"/>
  <c r="D115" i="120"/>
  <c r="F115" i="120" s="1"/>
  <c r="D64" i="120"/>
  <c r="E64" i="120"/>
  <c r="D65" i="120"/>
  <c r="E65" i="120"/>
  <c r="D66" i="120"/>
  <c r="E66" i="120"/>
  <c r="D67" i="120"/>
  <c r="E67" i="120"/>
  <c r="D68" i="120"/>
  <c r="E68" i="120"/>
  <c r="D69" i="120"/>
  <c r="E69" i="120"/>
  <c r="D70" i="120"/>
  <c r="E70" i="120"/>
  <c r="F62" i="120"/>
  <c r="E72" i="120"/>
  <c r="E127" i="120"/>
  <c r="E129" i="120"/>
  <c r="D4" i="120"/>
  <c r="E4" i="120"/>
  <c r="F115" i="96"/>
  <c r="E4" i="96"/>
  <c r="F115" i="116"/>
  <c r="D4" i="116"/>
  <c r="E4" i="116"/>
  <c r="D115" i="95"/>
  <c r="F115" i="95" s="1"/>
  <c r="D4" i="95"/>
  <c r="E4" i="95"/>
  <c r="F115" i="123"/>
  <c r="E4" i="123"/>
  <c r="F115" i="91"/>
  <c r="D4" i="91"/>
  <c r="E4" i="91"/>
  <c r="AN19" i="130"/>
  <c r="AA19" i="130" s="1"/>
  <c r="AO16" i="130"/>
  <c r="AA16" i="130" s="1"/>
  <c r="AI19" i="130"/>
  <c r="Z19" i="130" s="1"/>
  <c r="AJ16" i="130"/>
  <c r="AE9" i="130"/>
  <c r="AD19" i="130"/>
  <c r="Y19" i="130" s="1"/>
  <c r="AC9" i="130"/>
  <c r="AB11" i="130"/>
  <c r="AF18" i="130"/>
  <c r="Y18" i="130" s="1"/>
  <c r="F115" i="98"/>
  <c r="F115" i="97"/>
  <c r="F115" i="117"/>
  <c r="F115" i="124"/>
  <c r="D109" i="86"/>
  <c r="F109" i="86" s="1"/>
  <c r="D112" i="86"/>
  <c r="F112" i="86" s="1"/>
  <c r="D108" i="86"/>
  <c r="F108" i="86" s="1"/>
  <c r="D111" i="86"/>
  <c r="F111" i="86" s="1"/>
  <c r="D110" i="86"/>
  <c r="D113" i="86"/>
  <c r="F113" i="86" s="1"/>
  <c r="D116" i="86"/>
  <c r="D117" i="86"/>
  <c r="D133" i="86"/>
  <c r="D134" i="86"/>
  <c r="D109" i="99"/>
  <c r="D112" i="99"/>
  <c r="D108" i="99"/>
  <c r="D111" i="99"/>
  <c r="D110" i="99"/>
  <c r="D113" i="99"/>
  <c r="D116" i="99"/>
  <c r="D117" i="99"/>
  <c r="D133" i="99"/>
  <c r="D134" i="99"/>
  <c r="BG5" i="94"/>
  <c r="D108" i="116"/>
  <c r="F108" i="116" s="1"/>
  <c r="D111" i="116"/>
  <c r="D109" i="116"/>
  <c r="D112" i="116"/>
  <c r="F112" i="116" s="1"/>
  <c r="D108" i="95"/>
  <c r="D111" i="95"/>
  <c r="F111" i="95" s="1"/>
  <c r="D109" i="95"/>
  <c r="D112" i="95"/>
  <c r="F112" i="95" s="1"/>
  <c r="D108" i="124"/>
  <c r="D111" i="124"/>
  <c r="F111" i="124" s="1"/>
  <c r="D109" i="124"/>
  <c r="D112" i="124"/>
  <c r="F112" i="124" s="1"/>
  <c r="D108" i="91"/>
  <c r="D111" i="91"/>
  <c r="D109" i="91"/>
  <c r="D112" i="91"/>
  <c r="D108" i="96"/>
  <c r="D111" i="96"/>
  <c r="D109" i="96"/>
  <c r="D112" i="96"/>
  <c r="D108" i="123"/>
  <c r="D111" i="123"/>
  <c r="D109" i="123"/>
  <c r="D112" i="123"/>
  <c r="F112" i="123" s="1"/>
  <c r="D108" i="117"/>
  <c r="D111" i="117"/>
  <c r="D109" i="117"/>
  <c r="D112" i="117"/>
  <c r="D108" i="97"/>
  <c r="D111" i="97"/>
  <c r="D109" i="97"/>
  <c r="D112" i="97"/>
  <c r="D108" i="98"/>
  <c r="D111" i="98"/>
  <c r="D109" i="98"/>
  <c r="D112" i="98"/>
  <c r="D108" i="113"/>
  <c r="D111" i="113"/>
  <c r="D109" i="113"/>
  <c r="D112" i="113"/>
  <c r="D108" i="118"/>
  <c r="D111" i="118"/>
  <c r="D109" i="118"/>
  <c r="D112" i="118"/>
  <c r="D108" i="119"/>
  <c r="D111" i="119"/>
  <c r="D109" i="119"/>
  <c r="D112" i="119"/>
  <c r="D110" i="116"/>
  <c r="D113" i="116"/>
  <c r="D133" i="116"/>
  <c r="D134" i="116"/>
  <c r="D110" i="95"/>
  <c r="D113" i="95"/>
  <c r="F113" i="95" s="1"/>
  <c r="D133" i="95"/>
  <c r="D134" i="95"/>
  <c r="D110" i="124"/>
  <c r="F110" i="124" s="1"/>
  <c r="D113" i="124"/>
  <c r="D133" i="124"/>
  <c r="D134" i="124"/>
  <c r="D110" i="91"/>
  <c r="D113" i="91"/>
  <c r="D133" i="91"/>
  <c r="D134" i="91"/>
  <c r="D110" i="96"/>
  <c r="D113" i="96"/>
  <c r="D133" i="96"/>
  <c r="D134" i="96"/>
  <c r="D110" i="123"/>
  <c r="D113" i="123"/>
  <c r="D133" i="123"/>
  <c r="D134" i="123"/>
  <c r="D110" i="117"/>
  <c r="D113" i="117"/>
  <c r="D133" i="117"/>
  <c r="D134" i="117"/>
  <c r="D110" i="97"/>
  <c r="D113" i="97"/>
  <c r="D133" i="97"/>
  <c r="D134" i="97"/>
  <c r="D110" i="98"/>
  <c r="D113" i="98"/>
  <c r="D133" i="98"/>
  <c r="D134" i="98"/>
  <c r="D110" i="113"/>
  <c r="D113" i="113"/>
  <c r="D133" i="113"/>
  <c r="D134" i="113"/>
  <c r="D110" i="118"/>
  <c r="D113" i="118"/>
  <c r="D133" i="118"/>
  <c r="D134" i="118"/>
  <c r="D110" i="119"/>
  <c r="D113" i="119"/>
  <c r="D133" i="119"/>
  <c r="D134" i="119"/>
  <c r="B24" i="130"/>
  <c r="B25" i="130"/>
  <c r="B26" i="130"/>
  <c r="B27" i="130"/>
  <c r="B5" i="130"/>
  <c r="D108" i="120"/>
  <c r="D109" i="120"/>
  <c r="D110" i="120"/>
  <c r="D111" i="120"/>
  <c r="D112" i="120"/>
  <c r="F112" i="120" s="1"/>
  <c r="D113" i="120"/>
  <c r="D116" i="120"/>
  <c r="D117" i="120"/>
  <c r="D116" i="113"/>
  <c r="D117" i="113"/>
  <c r="D116" i="123"/>
  <c r="D117" i="123"/>
  <c r="D116" i="119"/>
  <c r="D117" i="119"/>
  <c r="D116" i="91"/>
  <c r="D117" i="91"/>
  <c r="D116" i="116"/>
  <c r="D117" i="116"/>
  <c r="D116" i="96"/>
  <c r="D117" i="96"/>
  <c r="D116" i="97"/>
  <c r="D117" i="97"/>
  <c r="D4" i="97"/>
  <c r="E4" i="97"/>
  <c r="D116" i="118"/>
  <c r="D117" i="118"/>
  <c r="D116" i="98"/>
  <c r="D117" i="98"/>
  <c r="D116" i="117"/>
  <c r="D117" i="117"/>
  <c r="D116" i="95"/>
  <c r="D117" i="95"/>
  <c r="D116" i="124"/>
  <c r="D117" i="124"/>
  <c r="L40" i="128"/>
  <c r="L41" i="128"/>
  <c r="L60" i="128"/>
  <c r="L61" i="128"/>
  <c r="D4" i="98"/>
  <c r="E4" i="98"/>
  <c r="D4" i="117"/>
  <c r="E4" i="117"/>
  <c r="D4" i="124"/>
  <c r="E4" i="124"/>
  <c r="S60" i="128"/>
  <c r="S61" i="128"/>
  <c r="S40" i="128"/>
  <c r="S41" i="128"/>
  <c r="R40" i="128"/>
  <c r="R60" i="128" s="1"/>
  <c r="R41" i="128"/>
  <c r="R61" i="128" s="1"/>
  <c r="N58" i="128"/>
  <c r="O41" i="128"/>
  <c r="O61" i="128" s="1"/>
  <c r="O40" i="128"/>
  <c r="O60" i="128" s="1"/>
  <c r="N49" i="128"/>
  <c r="N50" i="128"/>
  <c r="N51" i="128"/>
  <c r="N52" i="128"/>
  <c r="N53" i="128"/>
  <c r="N54" i="128"/>
  <c r="N55" i="128"/>
  <c r="N59" i="128" s="1"/>
  <c r="N56" i="128"/>
  <c r="N57" i="128"/>
  <c r="N48" i="128"/>
  <c r="N29" i="128"/>
  <c r="N30" i="128"/>
  <c r="N31" i="128"/>
  <c r="N32" i="128"/>
  <c r="N33" i="128"/>
  <c r="N34" i="128"/>
  <c r="N35" i="128"/>
  <c r="N39" i="128" s="1"/>
  <c r="N36" i="128"/>
  <c r="N37" i="128"/>
  <c r="N38" i="128"/>
  <c r="N28" i="128"/>
  <c r="D133" i="120"/>
  <c r="D134" i="120"/>
  <c r="C4" i="86"/>
  <c r="N3" i="50"/>
  <c r="M3" i="50"/>
  <c r="L3" i="50"/>
  <c r="AA3" i="50"/>
  <c r="G3" i="50"/>
  <c r="U3" i="50"/>
  <c r="V3" i="50"/>
  <c r="J3" i="50"/>
  <c r="I3" i="50"/>
  <c r="Q3" i="50"/>
  <c r="S3" i="50"/>
  <c r="X3" i="50"/>
  <c r="H3" i="50"/>
  <c r="W3" i="50"/>
  <c r="P3" i="50"/>
  <c r="M3" i="127"/>
  <c r="R4" i="126"/>
  <c r="C126" i="120"/>
  <c r="B89" i="139"/>
  <c r="C125" i="120"/>
  <c r="B85" i="138"/>
  <c r="C126" i="119"/>
  <c r="C125" i="119"/>
  <c r="B124" i="140"/>
  <c r="C124" i="119"/>
  <c r="C126" i="118"/>
  <c r="C125" i="118"/>
  <c r="C126" i="113"/>
  <c r="C125" i="113"/>
  <c r="C126" i="98"/>
  <c r="C125" i="98"/>
  <c r="C126" i="97"/>
  <c r="C125" i="97"/>
  <c r="C126" i="117"/>
  <c r="C125" i="117"/>
  <c r="C126" i="123"/>
  <c r="C125" i="123"/>
  <c r="C126" i="96"/>
  <c r="C125" i="96"/>
  <c r="C126" i="99"/>
  <c r="C125" i="99"/>
  <c r="C126" i="91"/>
  <c r="C125" i="91"/>
  <c r="C126" i="124"/>
  <c r="C125" i="124"/>
  <c r="C126" i="95"/>
  <c r="B126" i="95"/>
  <c r="C125" i="95"/>
  <c r="B88" i="118"/>
  <c r="B86" i="97"/>
  <c r="B88" i="117"/>
  <c r="B85" i="117"/>
  <c r="B84" i="117"/>
  <c r="B86" i="123"/>
  <c r="B85" i="123"/>
  <c r="B84" i="123"/>
  <c r="B86" i="96"/>
  <c r="B85" i="96"/>
  <c r="B84" i="96"/>
  <c r="B86" i="99"/>
  <c r="B85" i="99"/>
  <c r="B84" i="99"/>
  <c r="B88" i="91"/>
  <c r="B86" i="91"/>
  <c r="B85" i="91"/>
  <c r="B84" i="91"/>
  <c r="B86" i="124"/>
  <c r="B85" i="124"/>
  <c r="B84" i="124"/>
  <c r="B86" i="95"/>
  <c r="B85" i="95"/>
  <c r="B84" i="95"/>
  <c r="B125" i="116"/>
  <c r="C125" i="116"/>
  <c r="C126" i="116"/>
  <c r="B86" i="116"/>
  <c r="B85" i="116"/>
  <c r="B84" i="116"/>
  <c r="B125" i="86"/>
  <c r="C125" i="86"/>
  <c r="C126" i="86"/>
  <c r="B85" i="86"/>
  <c r="B89" i="86"/>
  <c r="B86" i="86"/>
  <c r="B84" i="86"/>
  <c r="X13" i="128"/>
  <c r="X14" i="128"/>
  <c r="N11" i="128"/>
  <c r="N12" i="128"/>
  <c r="N7" i="128"/>
  <c r="N14" i="128"/>
  <c r="N15" i="128" s="1"/>
  <c r="N18" i="128"/>
  <c r="N8" i="128"/>
  <c r="N13" i="128"/>
  <c r="C134" i="120"/>
  <c r="B134" i="120"/>
  <c r="C133" i="120"/>
  <c r="B133" i="120"/>
  <c r="C132" i="120"/>
  <c r="B132" i="120"/>
  <c r="C131" i="120"/>
  <c r="X18" i="128"/>
  <c r="C130" i="120"/>
  <c r="X17" i="128"/>
  <c r="C129" i="120"/>
  <c r="B98" i="140"/>
  <c r="C128" i="120"/>
  <c r="C127" i="120"/>
  <c r="B127" i="120"/>
  <c r="C124" i="120"/>
  <c r="C123" i="120"/>
  <c r="B78" i="136"/>
  <c r="C122" i="120"/>
  <c r="X8" i="128"/>
  <c r="C121" i="120"/>
  <c r="C134" i="119"/>
  <c r="B134" i="119"/>
  <c r="C133" i="119"/>
  <c r="B133" i="119"/>
  <c r="C132" i="119"/>
  <c r="B132" i="119"/>
  <c r="C131" i="119"/>
  <c r="C130" i="119"/>
  <c r="C129" i="119"/>
  <c r="C128" i="119"/>
  <c r="C127" i="119"/>
  <c r="B127" i="119"/>
  <c r="C123" i="119"/>
  <c r="C122" i="119"/>
  <c r="C121" i="119"/>
  <c r="C134" i="118"/>
  <c r="B134" i="118"/>
  <c r="C133" i="118"/>
  <c r="B133" i="118"/>
  <c r="C132" i="118"/>
  <c r="B132" i="118"/>
  <c r="C131" i="118"/>
  <c r="C130" i="118"/>
  <c r="C129" i="118"/>
  <c r="C128" i="118"/>
  <c r="C127" i="118"/>
  <c r="B127" i="118"/>
  <c r="C124" i="118"/>
  <c r="B124" i="118"/>
  <c r="C123" i="118"/>
  <c r="B123" i="118"/>
  <c r="C122" i="118"/>
  <c r="C121" i="118"/>
  <c r="C134" i="113"/>
  <c r="B134" i="113"/>
  <c r="C133" i="113"/>
  <c r="B133" i="113"/>
  <c r="C132" i="113"/>
  <c r="B132" i="113"/>
  <c r="C131" i="113"/>
  <c r="C130" i="113"/>
  <c r="B130" i="113"/>
  <c r="C129" i="113"/>
  <c r="B129" i="113"/>
  <c r="C128" i="113"/>
  <c r="B128" i="113"/>
  <c r="C127" i="113"/>
  <c r="B127" i="113"/>
  <c r="C124" i="113"/>
  <c r="B124" i="113"/>
  <c r="C123" i="113"/>
  <c r="C122" i="113"/>
  <c r="C121" i="113"/>
  <c r="C134" i="98"/>
  <c r="B134" i="98"/>
  <c r="C133" i="98"/>
  <c r="B133" i="98"/>
  <c r="C132" i="98"/>
  <c r="B132" i="98"/>
  <c r="C131" i="98"/>
  <c r="C130" i="98"/>
  <c r="C129" i="98"/>
  <c r="B129" i="98"/>
  <c r="C128" i="98"/>
  <c r="B128" i="98"/>
  <c r="C127" i="98"/>
  <c r="B127" i="98"/>
  <c r="C124" i="98"/>
  <c r="B124" i="98"/>
  <c r="C123" i="98"/>
  <c r="B123" i="98"/>
  <c r="C122" i="98"/>
  <c r="C121" i="98"/>
  <c r="C134" i="97"/>
  <c r="B134" i="97"/>
  <c r="C133" i="97"/>
  <c r="B133" i="97"/>
  <c r="C132" i="97"/>
  <c r="B132" i="97"/>
  <c r="C131" i="97"/>
  <c r="C130" i="97"/>
  <c r="C129" i="97"/>
  <c r="B129" i="97"/>
  <c r="C128" i="97"/>
  <c r="B128" i="97"/>
  <c r="C127" i="97"/>
  <c r="B127" i="97"/>
  <c r="C124" i="97"/>
  <c r="B124" i="97"/>
  <c r="C123" i="97"/>
  <c r="B123" i="97"/>
  <c r="C122" i="97"/>
  <c r="C121" i="97"/>
  <c r="C134" i="117"/>
  <c r="B134" i="117"/>
  <c r="C133" i="117"/>
  <c r="B133" i="117"/>
  <c r="C132" i="117"/>
  <c r="B132" i="117"/>
  <c r="C131" i="117"/>
  <c r="C130" i="117"/>
  <c r="C129" i="117"/>
  <c r="B129" i="117"/>
  <c r="C128" i="117"/>
  <c r="B128" i="117"/>
  <c r="C127" i="117"/>
  <c r="B127" i="117"/>
  <c r="C124" i="117"/>
  <c r="B124" i="117"/>
  <c r="C123" i="117"/>
  <c r="B123" i="117"/>
  <c r="C122" i="117"/>
  <c r="C121" i="117"/>
  <c r="C134" i="123"/>
  <c r="B134" i="123"/>
  <c r="C133" i="123"/>
  <c r="B133" i="123"/>
  <c r="C132" i="123"/>
  <c r="B132" i="123"/>
  <c r="C131" i="123"/>
  <c r="C130" i="123"/>
  <c r="C129" i="123"/>
  <c r="B129" i="123"/>
  <c r="C128" i="123"/>
  <c r="B128" i="123"/>
  <c r="C127" i="123"/>
  <c r="B127" i="123"/>
  <c r="C124" i="123"/>
  <c r="B124" i="123"/>
  <c r="C123" i="123"/>
  <c r="B123" i="123"/>
  <c r="C122" i="123"/>
  <c r="C121" i="123"/>
  <c r="C134" i="96"/>
  <c r="B134" i="96"/>
  <c r="C133" i="96"/>
  <c r="B133" i="96"/>
  <c r="C132" i="96"/>
  <c r="B132" i="96"/>
  <c r="C131" i="96"/>
  <c r="C130" i="96"/>
  <c r="C129" i="96"/>
  <c r="B129" i="96"/>
  <c r="C128" i="96"/>
  <c r="B128" i="96"/>
  <c r="C127" i="96"/>
  <c r="B127" i="96"/>
  <c r="C124" i="96"/>
  <c r="B124" i="96"/>
  <c r="C123" i="96"/>
  <c r="B123" i="96"/>
  <c r="C122" i="96"/>
  <c r="C121" i="96"/>
  <c r="C134" i="99"/>
  <c r="B134" i="99"/>
  <c r="C133" i="99"/>
  <c r="B133" i="99"/>
  <c r="C132" i="99"/>
  <c r="B132" i="99"/>
  <c r="C131" i="99"/>
  <c r="C130" i="99"/>
  <c r="C129" i="99"/>
  <c r="B129" i="99"/>
  <c r="C128" i="99"/>
  <c r="B128" i="99"/>
  <c r="C127" i="99"/>
  <c r="B127" i="99"/>
  <c r="C124" i="99"/>
  <c r="B124" i="99"/>
  <c r="C123" i="99"/>
  <c r="B123" i="99"/>
  <c r="C122" i="99"/>
  <c r="C121" i="99"/>
  <c r="C134" i="91"/>
  <c r="B134" i="91"/>
  <c r="C133" i="91"/>
  <c r="B133" i="91"/>
  <c r="C132" i="91"/>
  <c r="B132" i="91"/>
  <c r="C131" i="91"/>
  <c r="C130" i="91"/>
  <c r="C129" i="91"/>
  <c r="B129" i="91"/>
  <c r="C128" i="91"/>
  <c r="B128" i="91"/>
  <c r="C127" i="91"/>
  <c r="B127" i="91"/>
  <c r="C124" i="91"/>
  <c r="B124" i="91"/>
  <c r="C123" i="91"/>
  <c r="B123" i="91"/>
  <c r="C122" i="91"/>
  <c r="C121" i="91"/>
  <c r="C134" i="124"/>
  <c r="B134" i="124"/>
  <c r="C133" i="124"/>
  <c r="B133" i="124"/>
  <c r="C132" i="124"/>
  <c r="B132" i="124"/>
  <c r="C131" i="124"/>
  <c r="C130" i="124"/>
  <c r="B130" i="124"/>
  <c r="C129" i="124"/>
  <c r="B129" i="124"/>
  <c r="C128" i="124"/>
  <c r="B128" i="124"/>
  <c r="C127" i="124"/>
  <c r="B127" i="124"/>
  <c r="C124" i="124"/>
  <c r="B124" i="124"/>
  <c r="C123" i="124"/>
  <c r="B123" i="124"/>
  <c r="C122" i="124"/>
  <c r="C121" i="124"/>
  <c r="C134" i="95"/>
  <c r="B134" i="95"/>
  <c r="C133" i="95"/>
  <c r="B133" i="95"/>
  <c r="C132" i="95"/>
  <c r="B132" i="95"/>
  <c r="C131" i="95"/>
  <c r="C130" i="95"/>
  <c r="C129" i="95"/>
  <c r="B129" i="95"/>
  <c r="C128" i="95"/>
  <c r="B128" i="95"/>
  <c r="C127" i="95"/>
  <c r="B127" i="95"/>
  <c r="C124" i="95"/>
  <c r="B124" i="95"/>
  <c r="C123" i="95"/>
  <c r="B123" i="95"/>
  <c r="C122" i="95"/>
  <c r="C121" i="95"/>
  <c r="C134" i="116"/>
  <c r="B134" i="116"/>
  <c r="C133" i="116"/>
  <c r="B133" i="116"/>
  <c r="C132" i="116"/>
  <c r="B132" i="116"/>
  <c r="C131" i="116"/>
  <c r="C130" i="116"/>
  <c r="C129" i="116"/>
  <c r="B129" i="116"/>
  <c r="C128" i="116"/>
  <c r="B128" i="116"/>
  <c r="C127" i="116"/>
  <c r="B127" i="116"/>
  <c r="C124" i="116"/>
  <c r="B124" i="116"/>
  <c r="C123" i="116"/>
  <c r="B123" i="116"/>
  <c r="C122" i="116"/>
  <c r="C121" i="116"/>
  <c r="B113" i="120"/>
  <c r="B112" i="120"/>
  <c r="B111" i="120"/>
  <c r="B110" i="120"/>
  <c r="B109" i="120"/>
  <c r="B108" i="120"/>
  <c r="B107" i="120"/>
  <c r="B106" i="120"/>
  <c r="B105" i="120"/>
  <c r="B101" i="120"/>
  <c r="B99" i="120"/>
  <c r="B98" i="120"/>
  <c r="B97" i="120"/>
  <c r="B96" i="120"/>
  <c r="B95" i="120"/>
  <c r="B94" i="120"/>
  <c r="B93" i="120"/>
  <c r="B92" i="120"/>
  <c r="B91" i="120"/>
  <c r="B90" i="120"/>
  <c r="B83" i="120"/>
  <c r="B82" i="120"/>
  <c r="B81" i="120"/>
  <c r="B80" i="120"/>
  <c r="B79" i="120"/>
  <c r="B78" i="120"/>
  <c r="B113" i="119"/>
  <c r="B112" i="119"/>
  <c r="B111" i="119"/>
  <c r="B110" i="119"/>
  <c r="B109" i="119"/>
  <c r="B108" i="119"/>
  <c r="B107" i="119"/>
  <c r="B106" i="119"/>
  <c r="B105" i="119"/>
  <c r="B103" i="119"/>
  <c r="B101" i="119"/>
  <c r="B100" i="119"/>
  <c r="B99" i="119"/>
  <c r="B98" i="119"/>
  <c r="B97" i="119"/>
  <c r="B96" i="119"/>
  <c r="B95" i="119"/>
  <c r="B94" i="119"/>
  <c r="B93" i="119"/>
  <c r="B92" i="119"/>
  <c r="B91" i="119"/>
  <c r="B90" i="119"/>
  <c r="B83" i="119"/>
  <c r="B82" i="119"/>
  <c r="B81" i="119"/>
  <c r="B80" i="119"/>
  <c r="B79" i="119"/>
  <c r="B78" i="119"/>
  <c r="B113" i="118"/>
  <c r="B112" i="118"/>
  <c r="B111" i="118"/>
  <c r="B110" i="118"/>
  <c r="B109" i="118"/>
  <c r="B108" i="118"/>
  <c r="B107" i="118"/>
  <c r="B106" i="118"/>
  <c r="B105" i="118"/>
  <c r="B101" i="118"/>
  <c r="B100" i="118"/>
  <c r="B99" i="118"/>
  <c r="B98" i="118"/>
  <c r="B97" i="118"/>
  <c r="B96" i="118"/>
  <c r="B95" i="118"/>
  <c r="B94" i="118"/>
  <c r="B93" i="118"/>
  <c r="B92" i="118"/>
  <c r="B91" i="118"/>
  <c r="B90" i="118"/>
  <c r="B83" i="118"/>
  <c r="B82" i="118"/>
  <c r="B81" i="118"/>
  <c r="B80" i="118"/>
  <c r="B79" i="118"/>
  <c r="B78" i="118"/>
  <c r="B113" i="113"/>
  <c r="B112" i="113"/>
  <c r="B111" i="113"/>
  <c r="B110" i="113"/>
  <c r="B109" i="113"/>
  <c r="B108" i="113"/>
  <c r="B107" i="113"/>
  <c r="B106" i="113"/>
  <c r="B105" i="113"/>
  <c r="B103" i="113"/>
  <c r="B101" i="113"/>
  <c r="B100" i="113"/>
  <c r="B99" i="113"/>
  <c r="B98" i="113"/>
  <c r="B97" i="113"/>
  <c r="B96" i="113"/>
  <c r="B95" i="113"/>
  <c r="B94" i="113"/>
  <c r="B93" i="113"/>
  <c r="B92" i="113"/>
  <c r="B91" i="113"/>
  <c r="B90" i="113"/>
  <c r="B83" i="113"/>
  <c r="B82" i="113"/>
  <c r="B81" i="113"/>
  <c r="B80" i="113"/>
  <c r="B79" i="113"/>
  <c r="B78" i="113"/>
  <c r="B113" i="98"/>
  <c r="B112" i="98"/>
  <c r="B111" i="98"/>
  <c r="B110" i="98"/>
  <c r="B109" i="98"/>
  <c r="B108" i="98"/>
  <c r="B107" i="98"/>
  <c r="B106" i="98"/>
  <c r="B105" i="98"/>
  <c r="B101" i="98"/>
  <c r="B100" i="98"/>
  <c r="B99" i="98"/>
  <c r="B98" i="98"/>
  <c r="B97" i="98"/>
  <c r="B96" i="98"/>
  <c r="B95" i="98"/>
  <c r="B94" i="98"/>
  <c r="B93" i="98"/>
  <c r="B92" i="98"/>
  <c r="B91" i="98"/>
  <c r="B90" i="98"/>
  <c r="B83" i="98"/>
  <c r="B82" i="98"/>
  <c r="B81" i="98"/>
  <c r="B80" i="98"/>
  <c r="B79" i="98"/>
  <c r="B78" i="98"/>
  <c r="B113" i="97"/>
  <c r="B112" i="97"/>
  <c r="B111" i="97"/>
  <c r="B110" i="97"/>
  <c r="B109" i="97"/>
  <c r="B108" i="97"/>
  <c r="B107" i="97"/>
  <c r="B106" i="97"/>
  <c r="B105" i="97"/>
  <c r="B103" i="97"/>
  <c r="B101" i="97"/>
  <c r="B100" i="97"/>
  <c r="B99" i="97"/>
  <c r="B98" i="97"/>
  <c r="B97" i="97"/>
  <c r="B96" i="97"/>
  <c r="B95" i="97"/>
  <c r="B94" i="97"/>
  <c r="B93" i="97"/>
  <c r="B92" i="97"/>
  <c r="B91" i="97"/>
  <c r="B90" i="97"/>
  <c r="B83" i="97"/>
  <c r="B82" i="97"/>
  <c r="B81" i="97"/>
  <c r="B80" i="97"/>
  <c r="B79" i="97"/>
  <c r="B78" i="97"/>
  <c r="B113" i="117"/>
  <c r="B112" i="117"/>
  <c r="B111" i="117"/>
  <c r="B110" i="117"/>
  <c r="B109" i="117"/>
  <c r="B108" i="117"/>
  <c r="B107" i="117"/>
  <c r="B106" i="117"/>
  <c r="B105" i="117"/>
  <c r="B101" i="117"/>
  <c r="B100" i="117"/>
  <c r="B99" i="117"/>
  <c r="B98" i="117"/>
  <c r="B97" i="117"/>
  <c r="B96" i="117"/>
  <c r="B95" i="117"/>
  <c r="B94" i="117"/>
  <c r="B93" i="117"/>
  <c r="B92" i="117"/>
  <c r="B91" i="117"/>
  <c r="B90" i="117"/>
  <c r="B83" i="117"/>
  <c r="B82" i="117"/>
  <c r="B81" i="117"/>
  <c r="B80" i="117"/>
  <c r="B79" i="117"/>
  <c r="B78" i="117"/>
  <c r="B113" i="123"/>
  <c r="B112" i="123"/>
  <c r="B111" i="123"/>
  <c r="B110" i="123"/>
  <c r="B109" i="123"/>
  <c r="B108" i="123"/>
  <c r="B107" i="123"/>
  <c r="B106" i="123"/>
  <c r="B105" i="123"/>
  <c r="B103" i="123"/>
  <c r="B101" i="123"/>
  <c r="B100" i="123"/>
  <c r="B99" i="123"/>
  <c r="B98" i="123"/>
  <c r="B97" i="123"/>
  <c r="B96" i="123"/>
  <c r="B95" i="123"/>
  <c r="B94" i="123"/>
  <c r="B93" i="123"/>
  <c r="B92" i="123"/>
  <c r="B91" i="123"/>
  <c r="B90" i="123"/>
  <c r="B83" i="123"/>
  <c r="B82" i="123"/>
  <c r="B81" i="123"/>
  <c r="B80" i="123"/>
  <c r="B79" i="123"/>
  <c r="B78" i="123"/>
  <c r="B113" i="96"/>
  <c r="B112" i="96"/>
  <c r="B111" i="96"/>
  <c r="B110" i="96"/>
  <c r="B109" i="96"/>
  <c r="B108" i="96"/>
  <c r="B107" i="96"/>
  <c r="B106" i="96"/>
  <c r="B105" i="96"/>
  <c r="B101" i="96"/>
  <c r="B100" i="96"/>
  <c r="B99" i="96"/>
  <c r="B98" i="96"/>
  <c r="B97" i="96"/>
  <c r="B96" i="96"/>
  <c r="B83" i="96"/>
  <c r="B82" i="96"/>
  <c r="B81" i="96"/>
  <c r="B80" i="96"/>
  <c r="B79" i="96"/>
  <c r="B78" i="96"/>
  <c r="B113" i="99"/>
  <c r="B112" i="99"/>
  <c r="B111" i="99"/>
  <c r="B110" i="99"/>
  <c r="B109" i="99"/>
  <c r="B108" i="99"/>
  <c r="B107" i="99"/>
  <c r="B106" i="99"/>
  <c r="B105" i="99"/>
  <c r="B101" i="99"/>
  <c r="B100" i="99"/>
  <c r="B99" i="99"/>
  <c r="B98" i="99"/>
  <c r="B97" i="99"/>
  <c r="B96" i="99"/>
  <c r="B95" i="99"/>
  <c r="B94" i="99"/>
  <c r="B93" i="99"/>
  <c r="B92" i="99"/>
  <c r="B91" i="99"/>
  <c r="B90" i="99"/>
  <c r="B83" i="99"/>
  <c r="B82" i="99"/>
  <c r="B81" i="99"/>
  <c r="B80" i="99"/>
  <c r="B79" i="99"/>
  <c r="B78" i="99"/>
  <c r="B113" i="91"/>
  <c r="B112" i="91"/>
  <c r="B111" i="91"/>
  <c r="B110" i="91"/>
  <c r="B109" i="91"/>
  <c r="B108" i="91"/>
  <c r="B107" i="91"/>
  <c r="B106" i="91"/>
  <c r="B105" i="91"/>
  <c r="B101" i="91"/>
  <c r="B100" i="91"/>
  <c r="B99" i="91"/>
  <c r="B98" i="91"/>
  <c r="B97" i="91"/>
  <c r="B96" i="91"/>
  <c r="B95" i="91"/>
  <c r="B94" i="91"/>
  <c r="B93" i="91"/>
  <c r="B92" i="91"/>
  <c r="B91" i="91"/>
  <c r="B90" i="91"/>
  <c r="B83" i="91"/>
  <c r="B82" i="91"/>
  <c r="B81" i="91"/>
  <c r="B80" i="91"/>
  <c r="B79" i="91"/>
  <c r="B78" i="91"/>
  <c r="B113" i="124"/>
  <c r="B112" i="124"/>
  <c r="B111" i="124"/>
  <c r="B110" i="124"/>
  <c r="B109" i="124"/>
  <c r="B108" i="124"/>
  <c r="B107" i="124"/>
  <c r="B106" i="124"/>
  <c r="B105" i="124"/>
  <c r="B101" i="124"/>
  <c r="B100" i="124"/>
  <c r="B99" i="124"/>
  <c r="B98" i="124"/>
  <c r="B97" i="124"/>
  <c r="B96" i="124"/>
  <c r="B95" i="124"/>
  <c r="B94" i="124"/>
  <c r="B93" i="124"/>
  <c r="B92" i="124"/>
  <c r="B91" i="124"/>
  <c r="B90" i="124"/>
  <c r="B83" i="124"/>
  <c r="B82" i="124"/>
  <c r="B81" i="124"/>
  <c r="B80" i="124"/>
  <c r="B79" i="124"/>
  <c r="B78" i="124"/>
  <c r="B113" i="95"/>
  <c r="B112" i="95"/>
  <c r="B111" i="95"/>
  <c r="B110" i="95"/>
  <c r="B109" i="95"/>
  <c r="B108" i="95"/>
  <c r="B107" i="95"/>
  <c r="B106" i="95"/>
  <c r="B105" i="95"/>
  <c r="B101" i="95"/>
  <c r="B100" i="95"/>
  <c r="B99" i="95"/>
  <c r="B98" i="95"/>
  <c r="B97" i="95"/>
  <c r="B96" i="95"/>
  <c r="B95" i="95"/>
  <c r="B94" i="95"/>
  <c r="B93" i="95"/>
  <c r="B92" i="95"/>
  <c r="B91" i="95"/>
  <c r="B90" i="95"/>
  <c r="B83" i="95"/>
  <c r="B82" i="95"/>
  <c r="B81" i="95"/>
  <c r="B80" i="95"/>
  <c r="B79" i="95"/>
  <c r="B78" i="95"/>
  <c r="B113" i="116"/>
  <c r="B112" i="116"/>
  <c r="B111" i="116"/>
  <c r="B110" i="116"/>
  <c r="B109" i="116"/>
  <c r="B108" i="116"/>
  <c r="B107" i="116"/>
  <c r="B106" i="116"/>
  <c r="B105" i="116"/>
  <c r="B101" i="116"/>
  <c r="B100" i="116"/>
  <c r="B99" i="116"/>
  <c r="B98" i="116"/>
  <c r="B97" i="116"/>
  <c r="B96" i="116"/>
  <c r="B95" i="116"/>
  <c r="B94" i="116"/>
  <c r="B93" i="116"/>
  <c r="B92" i="116"/>
  <c r="B91" i="116"/>
  <c r="B90" i="116"/>
  <c r="B83" i="116"/>
  <c r="B82" i="116"/>
  <c r="B81" i="116"/>
  <c r="B80" i="116"/>
  <c r="B79" i="116"/>
  <c r="B78" i="116"/>
  <c r="B76" i="116"/>
  <c r="B113" i="86"/>
  <c r="B112" i="86"/>
  <c r="B111" i="86"/>
  <c r="B110" i="86"/>
  <c r="B109" i="86"/>
  <c r="B108" i="86"/>
  <c r="B107" i="86"/>
  <c r="B106" i="86"/>
  <c r="B105" i="86"/>
  <c r="B101" i="86"/>
  <c r="B100" i="86"/>
  <c r="B99" i="86"/>
  <c r="B98" i="86"/>
  <c r="B97" i="86"/>
  <c r="B96" i="86"/>
  <c r="B95" i="86"/>
  <c r="B94" i="86"/>
  <c r="B93" i="86"/>
  <c r="B92" i="86"/>
  <c r="B91" i="86"/>
  <c r="B90" i="86"/>
  <c r="B83" i="86"/>
  <c r="B82" i="86"/>
  <c r="B81" i="86"/>
  <c r="B80" i="86"/>
  <c r="B79" i="86"/>
  <c r="B78" i="86"/>
  <c r="P4" i="126"/>
  <c r="O4" i="126"/>
  <c r="N4" i="126"/>
  <c r="AC4" i="126"/>
  <c r="I4" i="126"/>
  <c r="W4" i="126"/>
  <c r="X4" i="126"/>
  <c r="L4" i="126"/>
  <c r="K4" i="126"/>
  <c r="S4" i="126"/>
  <c r="U4" i="126"/>
  <c r="Z4" i="126"/>
  <c r="J4" i="126"/>
  <c r="Y4" i="126"/>
  <c r="N9" i="128"/>
  <c r="N10" i="128"/>
  <c r="N16" i="128"/>
  <c r="N17" i="128"/>
  <c r="L19" i="128"/>
  <c r="L20" i="128"/>
  <c r="C115" i="124"/>
  <c r="B115" i="124"/>
  <c r="C70" i="124"/>
  <c r="B70" i="124"/>
  <c r="C69" i="124"/>
  <c r="B69" i="124"/>
  <c r="C68" i="124"/>
  <c r="B68" i="124"/>
  <c r="C67" i="124"/>
  <c r="B67" i="124"/>
  <c r="C66" i="124"/>
  <c r="B66" i="124"/>
  <c r="C65" i="124"/>
  <c r="B65" i="124"/>
  <c r="C64" i="124"/>
  <c r="B64" i="124"/>
  <c r="C63" i="124"/>
  <c r="B63" i="124"/>
  <c r="C61" i="124"/>
  <c r="B61" i="124"/>
  <c r="C20" i="124"/>
  <c r="B20" i="124"/>
  <c r="C19" i="124"/>
  <c r="B19" i="124"/>
  <c r="C18" i="124"/>
  <c r="B18" i="124"/>
  <c r="C17" i="124"/>
  <c r="B17" i="124"/>
  <c r="C16" i="124"/>
  <c r="B16" i="124"/>
  <c r="C14" i="124"/>
  <c r="C60" i="124"/>
  <c r="B60" i="124"/>
  <c r="C57" i="124"/>
  <c r="B57" i="124"/>
  <c r="C56" i="124"/>
  <c r="B56" i="124"/>
  <c r="C55" i="124"/>
  <c r="B55" i="124"/>
  <c r="C54" i="124"/>
  <c r="B54" i="124"/>
  <c r="C51" i="124"/>
  <c r="B51" i="124"/>
  <c r="C50" i="124"/>
  <c r="B50" i="124"/>
  <c r="C49" i="124"/>
  <c r="B49" i="124"/>
  <c r="C48" i="124"/>
  <c r="B48" i="124"/>
  <c r="C47" i="124"/>
  <c r="B47" i="124"/>
  <c r="C46" i="124"/>
  <c r="B46" i="124"/>
  <c r="C45" i="124"/>
  <c r="B45" i="124"/>
  <c r="C44" i="124"/>
  <c r="B44" i="124"/>
  <c r="C43" i="124"/>
  <c r="B43" i="124"/>
  <c r="C42" i="124"/>
  <c r="B42" i="124"/>
  <c r="C40" i="124"/>
  <c r="B40" i="124"/>
  <c r="C39" i="124"/>
  <c r="B39" i="124"/>
  <c r="C38" i="124"/>
  <c r="B38" i="124"/>
  <c r="C37" i="124"/>
  <c r="B37" i="124"/>
  <c r="C36" i="124"/>
  <c r="B36" i="124"/>
  <c r="C35" i="124"/>
  <c r="B35" i="124"/>
  <c r="C34" i="124"/>
  <c r="B34" i="124"/>
  <c r="C33" i="124"/>
  <c r="B33" i="124"/>
  <c r="C31" i="124"/>
  <c r="B31" i="124"/>
  <c r="C30" i="124"/>
  <c r="B30" i="124"/>
  <c r="C29" i="124"/>
  <c r="B29" i="124"/>
  <c r="C28" i="124"/>
  <c r="B28" i="124"/>
  <c r="C27" i="124"/>
  <c r="B27" i="124"/>
  <c r="C26" i="124"/>
  <c r="B26" i="124"/>
  <c r="C25" i="124"/>
  <c r="B25" i="124"/>
  <c r="C24" i="124"/>
  <c r="B24" i="124"/>
  <c r="C23" i="124"/>
  <c r="B23" i="124"/>
  <c r="C22" i="124"/>
  <c r="B22" i="124"/>
  <c r="C21" i="124"/>
  <c r="B21" i="124"/>
  <c r="C13" i="124"/>
  <c r="C12" i="124"/>
  <c r="C11" i="124"/>
  <c r="C10" i="124"/>
  <c r="C9" i="124"/>
  <c r="D63" i="120"/>
  <c r="E63" i="120"/>
  <c r="C115" i="123"/>
  <c r="B115" i="123"/>
  <c r="C70" i="123"/>
  <c r="B70" i="123"/>
  <c r="C69" i="123"/>
  <c r="B69" i="123"/>
  <c r="C68" i="123"/>
  <c r="B68" i="123"/>
  <c r="C67" i="123"/>
  <c r="B67" i="123"/>
  <c r="C66" i="123"/>
  <c r="B66" i="123"/>
  <c r="C65" i="123"/>
  <c r="B65" i="123"/>
  <c r="C64" i="123"/>
  <c r="B64" i="123"/>
  <c r="C63" i="123"/>
  <c r="B63" i="123"/>
  <c r="C61" i="123"/>
  <c r="B61" i="123"/>
  <c r="C20" i="123"/>
  <c r="B20" i="123"/>
  <c r="C19" i="123"/>
  <c r="B19" i="123"/>
  <c r="C18" i="123"/>
  <c r="B18" i="123"/>
  <c r="C17" i="123"/>
  <c r="B17" i="123"/>
  <c r="C16" i="123"/>
  <c r="B16" i="123"/>
  <c r="C14" i="123"/>
  <c r="C60" i="123"/>
  <c r="B60" i="123"/>
  <c r="C57" i="123"/>
  <c r="B57" i="123"/>
  <c r="C56" i="123"/>
  <c r="B56" i="123"/>
  <c r="C55" i="123"/>
  <c r="B55" i="123"/>
  <c r="C54" i="123"/>
  <c r="B54" i="123"/>
  <c r="C51" i="123"/>
  <c r="B51" i="123"/>
  <c r="C50" i="123"/>
  <c r="B50" i="123"/>
  <c r="C49" i="123"/>
  <c r="B49" i="123"/>
  <c r="C48" i="123"/>
  <c r="B48" i="123"/>
  <c r="C47" i="123"/>
  <c r="B47" i="123"/>
  <c r="C46" i="123"/>
  <c r="B46" i="123"/>
  <c r="C45" i="123"/>
  <c r="B45" i="123"/>
  <c r="C44" i="123"/>
  <c r="B44" i="123"/>
  <c r="C43" i="123"/>
  <c r="B43" i="123"/>
  <c r="C42" i="123"/>
  <c r="B42" i="123"/>
  <c r="C40" i="123"/>
  <c r="B40" i="123"/>
  <c r="C39" i="123"/>
  <c r="B39" i="123"/>
  <c r="C38" i="123"/>
  <c r="B38" i="123"/>
  <c r="C37" i="123"/>
  <c r="B37" i="123"/>
  <c r="C36" i="123"/>
  <c r="B36" i="123"/>
  <c r="C35" i="123"/>
  <c r="B35" i="123"/>
  <c r="C34" i="123"/>
  <c r="B34" i="123"/>
  <c r="C33" i="123"/>
  <c r="B33" i="123"/>
  <c r="C31" i="123"/>
  <c r="B31" i="123"/>
  <c r="C30" i="123"/>
  <c r="B30" i="123"/>
  <c r="C29" i="123"/>
  <c r="B29" i="123"/>
  <c r="C28" i="123"/>
  <c r="B28" i="123"/>
  <c r="C27" i="123"/>
  <c r="B27" i="123"/>
  <c r="C26" i="123"/>
  <c r="B26" i="123"/>
  <c r="C25" i="123"/>
  <c r="B25" i="123"/>
  <c r="C24" i="123"/>
  <c r="B24" i="123"/>
  <c r="C23" i="123"/>
  <c r="B23" i="123"/>
  <c r="C22" i="123"/>
  <c r="B22" i="123"/>
  <c r="C21" i="123"/>
  <c r="B21" i="123"/>
  <c r="C13" i="123"/>
  <c r="C12" i="123"/>
  <c r="C11" i="123"/>
  <c r="C10" i="123"/>
  <c r="C9" i="123"/>
  <c r="C115" i="120"/>
  <c r="B115" i="120"/>
  <c r="C115" i="119"/>
  <c r="B115" i="119"/>
  <c r="C115" i="118"/>
  <c r="B115" i="118"/>
  <c r="C115" i="113"/>
  <c r="B115" i="113"/>
  <c r="C115" i="99"/>
  <c r="B115" i="99"/>
  <c r="C115" i="98"/>
  <c r="B115" i="98"/>
  <c r="C115" i="97"/>
  <c r="B115" i="97"/>
  <c r="C115" i="117"/>
  <c r="B115" i="117"/>
  <c r="C115" i="96"/>
  <c r="B115" i="96"/>
  <c r="C115" i="91"/>
  <c r="B115" i="91"/>
  <c r="C115" i="95"/>
  <c r="B115" i="95"/>
  <c r="C115" i="116"/>
  <c r="B115" i="116"/>
  <c r="C115" i="86"/>
  <c r="B115" i="86"/>
  <c r="C70" i="95"/>
  <c r="B70" i="95"/>
  <c r="C69" i="95"/>
  <c r="B69" i="95"/>
  <c r="C68" i="95"/>
  <c r="B68" i="95"/>
  <c r="C67" i="95"/>
  <c r="B67" i="95"/>
  <c r="C66" i="95"/>
  <c r="B66" i="95"/>
  <c r="C65" i="95"/>
  <c r="B65" i="95"/>
  <c r="C64" i="95"/>
  <c r="B64" i="95"/>
  <c r="C63" i="95"/>
  <c r="B63" i="95"/>
  <c r="B134" i="86"/>
  <c r="B133" i="86"/>
  <c r="B132" i="86"/>
  <c r="C20" i="120"/>
  <c r="B20" i="120"/>
  <c r="C19" i="120"/>
  <c r="B19" i="120"/>
  <c r="C18" i="120"/>
  <c r="B18" i="120"/>
  <c r="C17" i="120"/>
  <c r="B17" i="120"/>
  <c r="C16" i="120"/>
  <c r="B16" i="120"/>
  <c r="C14" i="120"/>
  <c r="C57" i="120"/>
  <c r="B57" i="120"/>
  <c r="C56" i="120"/>
  <c r="B56" i="120"/>
  <c r="C55" i="120"/>
  <c r="B55" i="120"/>
  <c r="C54" i="120"/>
  <c r="B54" i="120"/>
  <c r="C51" i="120"/>
  <c r="B51" i="120"/>
  <c r="C50" i="120"/>
  <c r="B50" i="120"/>
  <c r="C49" i="120"/>
  <c r="B49" i="120"/>
  <c r="C48" i="120"/>
  <c r="B48" i="120"/>
  <c r="C47" i="120"/>
  <c r="B47" i="120"/>
  <c r="C46" i="120"/>
  <c r="B46" i="120"/>
  <c r="C45" i="120"/>
  <c r="B45" i="120"/>
  <c r="C44" i="120"/>
  <c r="B44" i="120"/>
  <c r="C43" i="120"/>
  <c r="B43" i="120"/>
  <c r="C42" i="120"/>
  <c r="B42" i="120"/>
  <c r="C40" i="120"/>
  <c r="B40" i="120"/>
  <c r="C39" i="120"/>
  <c r="B39" i="120"/>
  <c r="C38" i="120"/>
  <c r="B38" i="120"/>
  <c r="C37" i="120"/>
  <c r="B37" i="120"/>
  <c r="C36" i="120"/>
  <c r="B36" i="120"/>
  <c r="C35" i="120"/>
  <c r="B35" i="120"/>
  <c r="C34" i="120"/>
  <c r="B34" i="120"/>
  <c r="C33" i="120"/>
  <c r="B33" i="120"/>
  <c r="C31" i="120"/>
  <c r="B31" i="120"/>
  <c r="C30" i="120"/>
  <c r="B30" i="120"/>
  <c r="C29" i="120"/>
  <c r="B29" i="120"/>
  <c r="C28" i="120"/>
  <c r="B28" i="120"/>
  <c r="C27" i="120"/>
  <c r="B27" i="120"/>
  <c r="C26" i="120"/>
  <c r="B26" i="120"/>
  <c r="C25" i="120"/>
  <c r="B25" i="120"/>
  <c r="C24" i="120"/>
  <c r="B24" i="120"/>
  <c r="C23" i="120"/>
  <c r="B23" i="120"/>
  <c r="C22" i="120"/>
  <c r="B22" i="120"/>
  <c r="C21" i="120"/>
  <c r="B21" i="120"/>
  <c r="C13" i="120"/>
  <c r="C12" i="120"/>
  <c r="C11" i="120"/>
  <c r="C10" i="120"/>
  <c r="C9" i="120"/>
  <c r="C61" i="119"/>
  <c r="B61" i="119"/>
  <c r="C20" i="119"/>
  <c r="B20" i="119"/>
  <c r="C19" i="119"/>
  <c r="B19" i="119"/>
  <c r="C18" i="119"/>
  <c r="B18" i="119"/>
  <c r="C17" i="119"/>
  <c r="B17" i="119"/>
  <c r="C16" i="119"/>
  <c r="B16" i="119"/>
  <c r="C14" i="119"/>
  <c r="C60" i="119"/>
  <c r="B60" i="119"/>
  <c r="C57" i="119"/>
  <c r="B57" i="119"/>
  <c r="C56" i="119"/>
  <c r="B56" i="119"/>
  <c r="C55" i="119"/>
  <c r="B55" i="119"/>
  <c r="C54" i="119"/>
  <c r="B54" i="119"/>
  <c r="C51" i="119"/>
  <c r="B51" i="119"/>
  <c r="C50" i="119"/>
  <c r="B50" i="119"/>
  <c r="C49" i="119"/>
  <c r="B49" i="119"/>
  <c r="C48" i="119"/>
  <c r="B48" i="119"/>
  <c r="C47" i="119"/>
  <c r="B47" i="119"/>
  <c r="C46" i="119"/>
  <c r="B46" i="119"/>
  <c r="C45" i="119"/>
  <c r="B45" i="119"/>
  <c r="C44" i="119"/>
  <c r="B44" i="119"/>
  <c r="C43" i="119"/>
  <c r="B43" i="119"/>
  <c r="C40" i="119"/>
  <c r="B40" i="119"/>
  <c r="C39" i="119"/>
  <c r="B39" i="119"/>
  <c r="C38" i="119"/>
  <c r="B38" i="119"/>
  <c r="C37" i="119"/>
  <c r="B37" i="119"/>
  <c r="C36" i="119"/>
  <c r="B36" i="119"/>
  <c r="C35" i="119"/>
  <c r="B35" i="119"/>
  <c r="C34" i="119"/>
  <c r="B34" i="119"/>
  <c r="C33" i="119"/>
  <c r="B33" i="119"/>
  <c r="C31" i="119"/>
  <c r="B31" i="119"/>
  <c r="C30" i="119"/>
  <c r="B30" i="119"/>
  <c r="C29" i="119"/>
  <c r="B29" i="119"/>
  <c r="C28" i="119"/>
  <c r="B28" i="119"/>
  <c r="C27" i="119"/>
  <c r="B27" i="119"/>
  <c r="C26" i="119"/>
  <c r="B26" i="119"/>
  <c r="C25" i="119"/>
  <c r="B25" i="119"/>
  <c r="C24" i="119"/>
  <c r="B24" i="119"/>
  <c r="C23" i="119"/>
  <c r="B23" i="119"/>
  <c r="C22" i="119"/>
  <c r="B22" i="119"/>
  <c r="C21" i="119"/>
  <c r="B21" i="119"/>
  <c r="C13" i="119"/>
  <c r="C12" i="119"/>
  <c r="C11" i="119"/>
  <c r="C10" i="119"/>
  <c r="C9" i="119"/>
  <c r="C61" i="118"/>
  <c r="B61" i="118"/>
  <c r="C20" i="118"/>
  <c r="B20" i="118"/>
  <c r="C19" i="118"/>
  <c r="B19" i="118"/>
  <c r="C18" i="118"/>
  <c r="B18" i="118"/>
  <c r="C17" i="118"/>
  <c r="B17" i="118"/>
  <c r="C16" i="118"/>
  <c r="B16" i="118"/>
  <c r="C14" i="118"/>
  <c r="C60" i="118"/>
  <c r="B60" i="118"/>
  <c r="C57" i="118"/>
  <c r="B57" i="118"/>
  <c r="C56" i="118"/>
  <c r="B56" i="118"/>
  <c r="C55" i="118"/>
  <c r="B55" i="118"/>
  <c r="C54" i="118"/>
  <c r="B54" i="118"/>
  <c r="C51" i="118"/>
  <c r="B51" i="118"/>
  <c r="C50" i="118"/>
  <c r="B50" i="118"/>
  <c r="C49" i="118"/>
  <c r="B49" i="118"/>
  <c r="C48" i="118"/>
  <c r="B48" i="118"/>
  <c r="C47" i="118"/>
  <c r="B47" i="118"/>
  <c r="C46" i="118"/>
  <c r="B46" i="118"/>
  <c r="C45" i="118"/>
  <c r="B45" i="118"/>
  <c r="C44" i="118"/>
  <c r="B44" i="118"/>
  <c r="C43" i="118"/>
  <c r="B43" i="118"/>
  <c r="C42" i="118"/>
  <c r="B42" i="118"/>
  <c r="C40" i="118"/>
  <c r="B40" i="118"/>
  <c r="C39" i="118"/>
  <c r="B39" i="118"/>
  <c r="C38" i="118"/>
  <c r="B38" i="118"/>
  <c r="C37" i="118"/>
  <c r="B37" i="118"/>
  <c r="C36" i="118"/>
  <c r="B36" i="118"/>
  <c r="C35" i="118"/>
  <c r="B35" i="118"/>
  <c r="C34" i="118"/>
  <c r="B34" i="118"/>
  <c r="C33" i="118"/>
  <c r="B33" i="118"/>
  <c r="C31" i="118"/>
  <c r="B31" i="118"/>
  <c r="C30" i="118"/>
  <c r="B30" i="118"/>
  <c r="C29" i="118"/>
  <c r="B29" i="118"/>
  <c r="C28" i="118"/>
  <c r="B28" i="118"/>
  <c r="C27" i="118"/>
  <c r="B27" i="118"/>
  <c r="C26" i="118"/>
  <c r="B26" i="118"/>
  <c r="C25" i="118"/>
  <c r="B25" i="118"/>
  <c r="C24" i="118"/>
  <c r="B24" i="118"/>
  <c r="C23" i="118"/>
  <c r="B23" i="118"/>
  <c r="C22" i="118"/>
  <c r="B22" i="118"/>
  <c r="C21" i="118"/>
  <c r="B21" i="118"/>
  <c r="C13" i="118"/>
  <c r="C12" i="118"/>
  <c r="C11" i="118"/>
  <c r="C10" i="118"/>
  <c r="C9" i="118"/>
  <c r="C61" i="113"/>
  <c r="B61" i="113"/>
  <c r="C20" i="113"/>
  <c r="B20" i="113"/>
  <c r="C19" i="113"/>
  <c r="B19" i="113"/>
  <c r="C18" i="113"/>
  <c r="B18" i="113"/>
  <c r="C17" i="113"/>
  <c r="B17" i="113"/>
  <c r="C14" i="113"/>
  <c r="C60" i="113"/>
  <c r="B60" i="113"/>
  <c r="C57" i="113"/>
  <c r="B57" i="113"/>
  <c r="C56" i="113"/>
  <c r="B56" i="113"/>
  <c r="C55" i="113"/>
  <c r="B55" i="113"/>
  <c r="C54" i="113"/>
  <c r="B54" i="113"/>
  <c r="C51" i="113"/>
  <c r="B51" i="113"/>
  <c r="C50" i="113"/>
  <c r="B50" i="113"/>
  <c r="C49" i="113"/>
  <c r="B49" i="113"/>
  <c r="C48" i="113"/>
  <c r="B48" i="113"/>
  <c r="C47" i="113"/>
  <c r="B47" i="113"/>
  <c r="C46" i="113"/>
  <c r="B46" i="113"/>
  <c r="C45" i="113"/>
  <c r="B45" i="113"/>
  <c r="C44" i="113"/>
  <c r="B44" i="113"/>
  <c r="C43" i="113"/>
  <c r="B43" i="113"/>
  <c r="C42" i="113"/>
  <c r="B42" i="113"/>
  <c r="C40" i="113"/>
  <c r="B40" i="113"/>
  <c r="C39" i="113"/>
  <c r="B39" i="113"/>
  <c r="C38" i="113"/>
  <c r="B38" i="113"/>
  <c r="C37" i="113"/>
  <c r="B37" i="113"/>
  <c r="C36" i="113"/>
  <c r="B36" i="113"/>
  <c r="C35" i="113"/>
  <c r="B35" i="113"/>
  <c r="C34" i="113"/>
  <c r="B34" i="113"/>
  <c r="C33" i="113"/>
  <c r="B33" i="113"/>
  <c r="C31" i="113"/>
  <c r="B31" i="113"/>
  <c r="C30" i="113"/>
  <c r="B30" i="113"/>
  <c r="C29" i="113"/>
  <c r="B29" i="113"/>
  <c r="C28" i="113"/>
  <c r="B28" i="113"/>
  <c r="C27" i="113"/>
  <c r="B27" i="113"/>
  <c r="C26" i="113"/>
  <c r="B26" i="113"/>
  <c r="C25" i="113"/>
  <c r="B25" i="113"/>
  <c r="C24" i="113"/>
  <c r="B24" i="113"/>
  <c r="C23" i="113"/>
  <c r="B23" i="113"/>
  <c r="C22" i="113"/>
  <c r="B22" i="113"/>
  <c r="C21" i="113"/>
  <c r="B21" i="113"/>
  <c r="C13" i="113"/>
  <c r="C12" i="113"/>
  <c r="C11" i="113"/>
  <c r="C10" i="113"/>
  <c r="C9" i="113"/>
  <c r="C61" i="99"/>
  <c r="B61" i="99"/>
  <c r="C20" i="99"/>
  <c r="B20" i="99"/>
  <c r="C19" i="99"/>
  <c r="B19" i="99"/>
  <c r="C18" i="99"/>
  <c r="B18" i="99"/>
  <c r="C17" i="99"/>
  <c r="B17" i="99"/>
  <c r="C16" i="99"/>
  <c r="B16" i="99"/>
  <c r="C14" i="99"/>
  <c r="C60" i="99"/>
  <c r="B60" i="99"/>
  <c r="C57" i="99"/>
  <c r="B57" i="99"/>
  <c r="C56" i="99"/>
  <c r="B56" i="99"/>
  <c r="C55" i="99"/>
  <c r="B55" i="99"/>
  <c r="C54" i="99"/>
  <c r="B54" i="99"/>
  <c r="C51" i="99"/>
  <c r="B51" i="99"/>
  <c r="C50" i="99"/>
  <c r="B50" i="99"/>
  <c r="C49" i="99"/>
  <c r="B49" i="99"/>
  <c r="C48" i="99"/>
  <c r="B48" i="99"/>
  <c r="C47" i="99"/>
  <c r="B47" i="99"/>
  <c r="C46" i="99"/>
  <c r="B46" i="99"/>
  <c r="C45" i="99"/>
  <c r="B45" i="99"/>
  <c r="C44" i="99"/>
  <c r="B44" i="99"/>
  <c r="C43" i="99"/>
  <c r="B43" i="99"/>
  <c r="C42" i="99"/>
  <c r="B42" i="99"/>
  <c r="C40" i="99"/>
  <c r="B40" i="99"/>
  <c r="C39" i="99"/>
  <c r="B39" i="99"/>
  <c r="C38" i="99"/>
  <c r="B38" i="99"/>
  <c r="C37" i="99"/>
  <c r="B37" i="99"/>
  <c r="C36" i="99"/>
  <c r="B36" i="99"/>
  <c r="C35" i="99"/>
  <c r="B35" i="99"/>
  <c r="C34" i="99"/>
  <c r="B34" i="99"/>
  <c r="C33" i="99"/>
  <c r="B33" i="99"/>
  <c r="C31" i="99"/>
  <c r="B31" i="99"/>
  <c r="C30" i="99"/>
  <c r="B30" i="99"/>
  <c r="C29" i="99"/>
  <c r="B29" i="99"/>
  <c r="C28" i="99"/>
  <c r="B28" i="99"/>
  <c r="C27" i="99"/>
  <c r="B27" i="99"/>
  <c r="C26" i="99"/>
  <c r="B26" i="99"/>
  <c r="C25" i="99"/>
  <c r="B25" i="99"/>
  <c r="C24" i="99"/>
  <c r="B24" i="99"/>
  <c r="C23" i="99"/>
  <c r="B23" i="99"/>
  <c r="C22" i="99"/>
  <c r="B22" i="99"/>
  <c r="C21" i="99"/>
  <c r="B21" i="99"/>
  <c r="C13" i="99"/>
  <c r="C12" i="99"/>
  <c r="C11" i="99"/>
  <c r="C10" i="99"/>
  <c r="C9" i="99"/>
  <c r="C61" i="98"/>
  <c r="B61" i="98"/>
  <c r="C20" i="98"/>
  <c r="B20" i="98"/>
  <c r="C19" i="98"/>
  <c r="B19" i="98"/>
  <c r="C18" i="98"/>
  <c r="B18" i="98"/>
  <c r="C17" i="98"/>
  <c r="B17" i="98"/>
  <c r="C16" i="98"/>
  <c r="B16" i="98"/>
  <c r="C14" i="98"/>
  <c r="C60" i="98"/>
  <c r="B60" i="98"/>
  <c r="C57" i="98"/>
  <c r="B57" i="98"/>
  <c r="C56" i="98"/>
  <c r="B56" i="98"/>
  <c r="C55" i="98"/>
  <c r="B55" i="98"/>
  <c r="C54" i="98"/>
  <c r="B54" i="98"/>
  <c r="C51" i="98"/>
  <c r="B51" i="98"/>
  <c r="C50" i="98"/>
  <c r="B50" i="98"/>
  <c r="C49" i="98"/>
  <c r="B49" i="98"/>
  <c r="C48" i="98"/>
  <c r="B48" i="98"/>
  <c r="C47" i="98"/>
  <c r="B47" i="98"/>
  <c r="C46" i="98"/>
  <c r="B46" i="98"/>
  <c r="C45" i="98"/>
  <c r="B45" i="98"/>
  <c r="C44" i="98"/>
  <c r="B44" i="98"/>
  <c r="C43" i="98"/>
  <c r="B43" i="98"/>
  <c r="C42" i="98"/>
  <c r="B42" i="98"/>
  <c r="C40" i="98"/>
  <c r="B40" i="98"/>
  <c r="C39" i="98"/>
  <c r="B39" i="98"/>
  <c r="C38" i="98"/>
  <c r="B38" i="98"/>
  <c r="C37" i="98"/>
  <c r="B37" i="98"/>
  <c r="C36" i="98"/>
  <c r="B36" i="98"/>
  <c r="C35" i="98"/>
  <c r="B35" i="98"/>
  <c r="C34" i="98"/>
  <c r="B34" i="98"/>
  <c r="C33" i="98"/>
  <c r="B33" i="98"/>
  <c r="C31" i="98"/>
  <c r="B31" i="98"/>
  <c r="C30" i="98"/>
  <c r="B30" i="98"/>
  <c r="C29" i="98"/>
  <c r="B29" i="98"/>
  <c r="C28" i="98"/>
  <c r="B28" i="98"/>
  <c r="C27" i="98"/>
  <c r="B27" i="98"/>
  <c r="C26" i="98"/>
  <c r="B26" i="98"/>
  <c r="C25" i="98"/>
  <c r="B25" i="98"/>
  <c r="C24" i="98"/>
  <c r="B24" i="98"/>
  <c r="C23" i="98"/>
  <c r="B23" i="98"/>
  <c r="C22" i="98"/>
  <c r="B22" i="98"/>
  <c r="C21" i="98"/>
  <c r="B21" i="98"/>
  <c r="C13" i="98"/>
  <c r="C12" i="98"/>
  <c r="C11" i="98"/>
  <c r="C10" i="98"/>
  <c r="C9" i="98"/>
  <c r="C61" i="97"/>
  <c r="B61" i="97"/>
  <c r="C20" i="97"/>
  <c r="B20" i="97"/>
  <c r="C19" i="97"/>
  <c r="B19" i="97"/>
  <c r="C18" i="97"/>
  <c r="B18" i="97"/>
  <c r="C17" i="97"/>
  <c r="B17" i="97"/>
  <c r="C16" i="97"/>
  <c r="B16" i="97"/>
  <c r="C14" i="97"/>
  <c r="C60" i="97"/>
  <c r="B60" i="97"/>
  <c r="C57" i="97"/>
  <c r="B57" i="97"/>
  <c r="C56" i="97"/>
  <c r="B56" i="97"/>
  <c r="C55" i="97"/>
  <c r="B55" i="97"/>
  <c r="C54" i="97"/>
  <c r="B54" i="97"/>
  <c r="C51" i="97"/>
  <c r="B51" i="97"/>
  <c r="C50" i="97"/>
  <c r="B50" i="97"/>
  <c r="C49" i="97"/>
  <c r="B49" i="97"/>
  <c r="C48" i="97"/>
  <c r="B48" i="97"/>
  <c r="C47" i="97"/>
  <c r="B47" i="97"/>
  <c r="C46" i="97"/>
  <c r="B46" i="97"/>
  <c r="C45" i="97"/>
  <c r="B45" i="97"/>
  <c r="C44" i="97"/>
  <c r="B44" i="97"/>
  <c r="C43" i="97"/>
  <c r="B43" i="97"/>
  <c r="C42" i="97"/>
  <c r="B42" i="97"/>
  <c r="C40" i="97"/>
  <c r="B40" i="97"/>
  <c r="C39" i="97"/>
  <c r="B39" i="97"/>
  <c r="C38" i="97"/>
  <c r="B38" i="97"/>
  <c r="C37" i="97"/>
  <c r="B37" i="97"/>
  <c r="C36" i="97"/>
  <c r="B36" i="97"/>
  <c r="C35" i="97"/>
  <c r="B35" i="97"/>
  <c r="C34" i="97"/>
  <c r="B34" i="97"/>
  <c r="C33" i="97"/>
  <c r="B33" i="97"/>
  <c r="C31" i="97"/>
  <c r="B31" i="97"/>
  <c r="C30" i="97"/>
  <c r="B30" i="97"/>
  <c r="C29" i="97"/>
  <c r="B29" i="97"/>
  <c r="C28" i="97"/>
  <c r="B28" i="97"/>
  <c r="C27" i="97"/>
  <c r="B27" i="97"/>
  <c r="C26" i="97"/>
  <c r="B26" i="97"/>
  <c r="C25" i="97"/>
  <c r="B25" i="97"/>
  <c r="C24" i="97"/>
  <c r="B24" i="97"/>
  <c r="C23" i="97"/>
  <c r="B23" i="97"/>
  <c r="C22" i="97"/>
  <c r="B22" i="97"/>
  <c r="C21" i="97"/>
  <c r="B21" i="97"/>
  <c r="C13" i="97"/>
  <c r="C12" i="97"/>
  <c r="C11" i="97"/>
  <c r="C10" i="97"/>
  <c r="C9" i="97"/>
  <c r="C61" i="117"/>
  <c r="B61" i="117"/>
  <c r="C20" i="117"/>
  <c r="B20" i="117"/>
  <c r="C19" i="117"/>
  <c r="B19" i="117"/>
  <c r="C18" i="117"/>
  <c r="B18" i="117"/>
  <c r="C17" i="117"/>
  <c r="B17" i="117"/>
  <c r="C16" i="117"/>
  <c r="B16" i="117"/>
  <c r="C14" i="117"/>
  <c r="C60" i="117"/>
  <c r="B60" i="117"/>
  <c r="C57" i="117"/>
  <c r="B57" i="117"/>
  <c r="C56" i="117"/>
  <c r="B56" i="117"/>
  <c r="C55" i="117"/>
  <c r="B55" i="117"/>
  <c r="C54" i="117"/>
  <c r="B54" i="117"/>
  <c r="C51" i="117"/>
  <c r="B51" i="117"/>
  <c r="C50" i="117"/>
  <c r="B50" i="117"/>
  <c r="C49" i="117"/>
  <c r="B49" i="117"/>
  <c r="C48" i="117"/>
  <c r="B48" i="117"/>
  <c r="C47" i="117"/>
  <c r="B47" i="117"/>
  <c r="C46" i="117"/>
  <c r="B46" i="117"/>
  <c r="C45" i="117"/>
  <c r="B45" i="117"/>
  <c r="C44" i="117"/>
  <c r="B44" i="117"/>
  <c r="C43" i="117"/>
  <c r="B43" i="117"/>
  <c r="C42" i="117"/>
  <c r="B42" i="117"/>
  <c r="C40" i="117"/>
  <c r="B40" i="117"/>
  <c r="C39" i="117"/>
  <c r="B39" i="117"/>
  <c r="C38" i="117"/>
  <c r="B38" i="117"/>
  <c r="C37" i="117"/>
  <c r="B37" i="117"/>
  <c r="C36" i="117"/>
  <c r="B36" i="117"/>
  <c r="C35" i="117"/>
  <c r="B35" i="117"/>
  <c r="C34" i="117"/>
  <c r="B34" i="117"/>
  <c r="C33" i="117"/>
  <c r="B33" i="117"/>
  <c r="C31" i="117"/>
  <c r="B31" i="117"/>
  <c r="C30" i="117"/>
  <c r="B30" i="117"/>
  <c r="C29" i="117"/>
  <c r="B29" i="117"/>
  <c r="C28" i="117"/>
  <c r="B28" i="117"/>
  <c r="C27" i="117"/>
  <c r="B27" i="117"/>
  <c r="C26" i="117"/>
  <c r="B26" i="117"/>
  <c r="C25" i="117"/>
  <c r="B25" i="117"/>
  <c r="C24" i="117"/>
  <c r="B24" i="117"/>
  <c r="C23" i="117"/>
  <c r="B23" i="117"/>
  <c r="C22" i="117"/>
  <c r="B22" i="117"/>
  <c r="C21" i="117"/>
  <c r="B21" i="117"/>
  <c r="C13" i="117"/>
  <c r="C12" i="117"/>
  <c r="C11" i="117"/>
  <c r="C10" i="117"/>
  <c r="C9" i="117"/>
  <c r="C61" i="96"/>
  <c r="B61" i="96"/>
  <c r="C20" i="96"/>
  <c r="B20" i="96"/>
  <c r="C19" i="96"/>
  <c r="B19" i="96"/>
  <c r="C18" i="96"/>
  <c r="B18" i="96"/>
  <c r="C17" i="96"/>
  <c r="B17" i="96"/>
  <c r="C16" i="96"/>
  <c r="B16" i="96"/>
  <c r="C14" i="96"/>
  <c r="C60" i="96"/>
  <c r="B60" i="96"/>
  <c r="C57" i="96"/>
  <c r="B57" i="96"/>
  <c r="C56" i="96"/>
  <c r="B56" i="96"/>
  <c r="C55" i="96"/>
  <c r="B55" i="96"/>
  <c r="C54" i="96"/>
  <c r="B54" i="96"/>
  <c r="C51" i="96"/>
  <c r="B51" i="96"/>
  <c r="C50" i="96"/>
  <c r="B50" i="96"/>
  <c r="C49" i="96"/>
  <c r="B49" i="96"/>
  <c r="C48" i="96"/>
  <c r="B48" i="96"/>
  <c r="C47" i="96"/>
  <c r="B47" i="96"/>
  <c r="C46" i="96"/>
  <c r="B46" i="96"/>
  <c r="C45" i="96"/>
  <c r="B45" i="96"/>
  <c r="C44" i="96"/>
  <c r="B44" i="96"/>
  <c r="C43" i="96"/>
  <c r="B43" i="96"/>
  <c r="C42" i="96"/>
  <c r="B42" i="96"/>
  <c r="C40" i="96"/>
  <c r="B40" i="96"/>
  <c r="C39" i="96"/>
  <c r="B39" i="96"/>
  <c r="C38" i="96"/>
  <c r="B38" i="96"/>
  <c r="C37" i="96"/>
  <c r="B37" i="96"/>
  <c r="C36" i="96"/>
  <c r="B36" i="96"/>
  <c r="C35" i="96"/>
  <c r="B35" i="96"/>
  <c r="C34" i="96"/>
  <c r="B34" i="96"/>
  <c r="C33" i="96"/>
  <c r="B33" i="96"/>
  <c r="C31" i="96"/>
  <c r="B31" i="96"/>
  <c r="C30" i="96"/>
  <c r="B30" i="96"/>
  <c r="C29" i="96"/>
  <c r="B29" i="96"/>
  <c r="C28" i="96"/>
  <c r="B28" i="96"/>
  <c r="C27" i="96"/>
  <c r="B27" i="96"/>
  <c r="C26" i="96"/>
  <c r="B26" i="96"/>
  <c r="C25" i="96"/>
  <c r="B25" i="96"/>
  <c r="C24" i="96"/>
  <c r="B24" i="96"/>
  <c r="C23" i="96"/>
  <c r="B23" i="96"/>
  <c r="C22" i="96"/>
  <c r="B22" i="96"/>
  <c r="C21" i="96"/>
  <c r="B21" i="96"/>
  <c r="C13" i="96"/>
  <c r="C12" i="96"/>
  <c r="C11" i="96"/>
  <c r="C10" i="96"/>
  <c r="C9" i="96"/>
  <c r="C61" i="91"/>
  <c r="B61" i="91"/>
  <c r="C20" i="91"/>
  <c r="B20" i="91"/>
  <c r="C19" i="91"/>
  <c r="B19" i="91"/>
  <c r="C18" i="91"/>
  <c r="B18" i="91"/>
  <c r="C17" i="91"/>
  <c r="B17" i="91"/>
  <c r="C16" i="91"/>
  <c r="B16" i="91"/>
  <c r="C14" i="91"/>
  <c r="C60" i="91"/>
  <c r="B60" i="91"/>
  <c r="C57" i="91"/>
  <c r="B57" i="91"/>
  <c r="C56" i="91"/>
  <c r="B56" i="91"/>
  <c r="C55" i="91"/>
  <c r="B55" i="91"/>
  <c r="C54" i="91"/>
  <c r="B54" i="91"/>
  <c r="C51" i="91"/>
  <c r="B51" i="91"/>
  <c r="C50" i="91"/>
  <c r="B50" i="91"/>
  <c r="C49" i="91"/>
  <c r="B49" i="91"/>
  <c r="C48" i="91"/>
  <c r="B48" i="91"/>
  <c r="C47" i="91"/>
  <c r="B47" i="91"/>
  <c r="C46" i="91"/>
  <c r="B46" i="91"/>
  <c r="C45" i="91"/>
  <c r="B45" i="91"/>
  <c r="C44" i="91"/>
  <c r="B44" i="91"/>
  <c r="C43" i="91"/>
  <c r="B43" i="91"/>
  <c r="C42" i="91"/>
  <c r="B42" i="91"/>
  <c r="C40" i="91"/>
  <c r="B40" i="91"/>
  <c r="C39" i="91"/>
  <c r="B39" i="91"/>
  <c r="C38" i="91"/>
  <c r="B38" i="91"/>
  <c r="C37" i="91"/>
  <c r="B37" i="91"/>
  <c r="C36" i="91"/>
  <c r="B36" i="91"/>
  <c r="C35" i="91"/>
  <c r="B35" i="91"/>
  <c r="C34" i="91"/>
  <c r="B34" i="91"/>
  <c r="C33" i="91"/>
  <c r="B33" i="91"/>
  <c r="C31" i="91"/>
  <c r="B31" i="91"/>
  <c r="C30" i="91"/>
  <c r="B30" i="91"/>
  <c r="C29" i="91"/>
  <c r="B29" i="91"/>
  <c r="C28" i="91"/>
  <c r="B28" i="91"/>
  <c r="C27" i="91"/>
  <c r="B27" i="91"/>
  <c r="C26" i="91"/>
  <c r="B26" i="91"/>
  <c r="C25" i="91"/>
  <c r="B25" i="91"/>
  <c r="C24" i="91"/>
  <c r="B24" i="91"/>
  <c r="C23" i="91"/>
  <c r="B23" i="91"/>
  <c r="C22" i="91"/>
  <c r="B22" i="91"/>
  <c r="C21" i="91"/>
  <c r="B21" i="91"/>
  <c r="C13" i="91"/>
  <c r="C12" i="91"/>
  <c r="C11" i="91"/>
  <c r="C10" i="91"/>
  <c r="C9" i="91"/>
  <c r="C61" i="95"/>
  <c r="B61" i="95"/>
  <c r="C20" i="95"/>
  <c r="B20" i="95"/>
  <c r="C19" i="95"/>
  <c r="B19" i="95"/>
  <c r="C18" i="95"/>
  <c r="B18" i="95"/>
  <c r="C17" i="95"/>
  <c r="B17" i="95"/>
  <c r="C16" i="95"/>
  <c r="B16" i="95"/>
  <c r="C14" i="95"/>
  <c r="C60" i="95"/>
  <c r="B60" i="95"/>
  <c r="C57" i="95"/>
  <c r="B57" i="95"/>
  <c r="C56" i="95"/>
  <c r="B56" i="95"/>
  <c r="C55" i="95"/>
  <c r="B55" i="95"/>
  <c r="C54" i="95"/>
  <c r="B54" i="95"/>
  <c r="C51" i="95"/>
  <c r="B51" i="95"/>
  <c r="C50" i="95"/>
  <c r="B50" i="95"/>
  <c r="C49" i="95"/>
  <c r="B49" i="95"/>
  <c r="C48" i="95"/>
  <c r="B48" i="95"/>
  <c r="C47" i="95"/>
  <c r="B47" i="95"/>
  <c r="C46" i="95"/>
  <c r="B46" i="95"/>
  <c r="C45" i="95"/>
  <c r="B45" i="95"/>
  <c r="C44" i="95"/>
  <c r="B44" i="95"/>
  <c r="C43" i="95"/>
  <c r="B43" i="95"/>
  <c r="C42" i="95"/>
  <c r="B42" i="95"/>
  <c r="C40" i="95"/>
  <c r="B40" i="95"/>
  <c r="C39" i="95"/>
  <c r="B39" i="95"/>
  <c r="C38" i="95"/>
  <c r="B38" i="95"/>
  <c r="C37" i="95"/>
  <c r="B37" i="95"/>
  <c r="C36" i="95"/>
  <c r="B36" i="95"/>
  <c r="C35" i="95"/>
  <c r="B35" i="95"/>
  <c r="C34" i="95"/>
  <c r="B34" i="95"/>
  <c r="C33" i="95"/>
  <c r="B33" i="95"/>
  <c r="C31" i="95"/>
  <c r="B31" i="95"/>
  <c r="C30" i="95"/>
  <c r="B30" i="95"/>
  <c r="C29" i="95"/>
  <c r="B29" i="95"/>
  <c r="C28" i="95"/>
  <c r="B28" i="95"/>
  <c r="C27" i="95"/>
  <c r="B27" i="95"/>
  <c r="C26" i="95"/>
  <c r="B26" i="95"/>
  <c r="C25" i="95"/>
  <c r="B25" i="95"/>
  <c r="C24" i="95"/>
  <c r="B24" i="95"/>
  <c r="C23" i="95"/>
  <c r="B23" i="95"/>
  <c r="C22" i="95"/>
  <c r="B22" i="95"/>
  <c r="C21" i="95"/>
  <c r="B21" i="95"/>
  <c r="C13" i="95"/>
  <c r="C12" i="95"/>
  <c r="C11" i="95"/>
  <c r="C10" i="95"/>
  <c r="C9" i="95"/>
  <c r="C61" i="116"/>
  <c r="B61" i="116"/>
  <c r="C20" i="116"/>
  <c r="B20" i="116"/>
  <c r="C16" i="116"/>
  <c r="B16" i="116"/>
  <c r="C60" i="116"/>
  <c r="B60" i="116"/>
  <c r="C57" i="116"/>
  <c r="B57" i="116"/>
  <c r="C56" i="116"/>
  <c r="B56" i="116"/>
  <c r="C55" i="116"/>
  <c r="B55" i="116"/>
  <c r="C54" i="116"/>
  <c r="B54" i="116"/>
  <c r="C51" i="116"/>
  <c r="B51" i="116"/>
  <c r="C50" i="116"/>
  <c r="B50" i="116"/>
  <c r="C49" i="116"/>
  <c r="B49" i="116"/>
  <c r="C48" i="116"/>
  <c r="B48" i="116"/>
  <c r="C47" i="116"/>
  <c r="B47" i="116"/>
  <c r="C46" i="116"/>
  <c r="B46" i="116"/>
  <c r="C45" i="116"/>
  <c r="B45" i="116"/>
  <c r="C44" i="116"/>
  <c r="B44" i="116"/>
  <c r="C43" i="116"/>
  <c r="B43" i="116"/>
  <c r="C42" i="116"/>
  <c r="B42" i="116"/>
  <c r="C40" i="116"/>
  <c r="B40" i="116"/>
  <c r="C39" i="116"/>
  <c r="B39" i="116"/>
  <c r="C38" i="116"/>
  <c r="B38" i="116"/>
  <c r="C37" i="116"/>
  <c r="B37" i="116"/>
  <c r="C36" i="116"/>
  <c r="B36" i="116"/>
  <c r="C35" i="116"/>
  <c r="B35" i="116"/>
  <c r="C34" i="116"/>
  <c r="B34" i="116"/>
  <c r="C33" i="116"/>
  <c r="B33" i="116"/>
  <c r="C31" i="116"/>
  <c r="B31" i="116"/>
  <c r="C30" i="116"/>
  <c r="B30" i="116"/>
  <c r="C29" i="116"/>
  <c r="B29" i="116"/>
  <c r="C28" i="116"/>
  <c r="B28" i="116"/>
  <c r="C27" i="116"/>
  <c r="B27" i="116"/>
  <c r="C26" i="116"/>
  <c r="B26" i="116"/>
  <c r="C25" i="116"/>
  <c r="B25" i="116"/>
  <c r="C24" i="116"/>
  <c r="B24" i="116"/>
  <c r="C23" i="116"/>
  <c r="B23" i="116"/>
  <c r="C22" i="116"/>
  <c r="B22" i="116"/>
  <c r="C21" i="116"/>
  <c r="B21" i="116"/>
  <c r="C13" i="116"/>
  <c r="C12" i="116"/>
  <c r="C11" i="116"/>
  <c r="C10" i="116"/>
  <c r="C9" i="116"/>
  <c r="C10" i="86"/>
  <c r="C11" i="86"/>
  <c r="C12" i="86"/>
  <c r="C13" i="86"/>
  <c r="B21" i="86"/>
  <c r="C21" i="86"/>
  <c r="B22" i="86"/>
  <c r="C22" i="86"/>
  <c r="B23" i="86"/>
  <c r="C23" i="86"/>
  <c r="B24" i="86"/>
  <c r="C24" i="86"/>
  <c r="B25" i="86"/>
  <c r="C25" i="86"/>
  <c r="B26" i="86"/>
  <c r="C26" i="86"/>
  <c r="B27" i="86"/>
  <c r="C27" i="86"/>
  <c r="B28" i="86"/>
  <c r="C28" i="86"/>
  <c r="B29" i="86"/>
  <c r="C29" i="86"/>
  <c r="B30" i="86"/>
  <c r="C30" i="86"/>
  <c r="B31" i="86"/>
  <c r="C31" i="86"/>
  <c r="B33" i="86"/>
  <c r="C33" i="86"/>
  <c r="B34" i="86"/>
  <c r="C34" i="86"/>
  <c r="B35" i="86"/>
  <c r="C35" i="86"/>
  <c r="B36" i="86"/>
  <c r="C36" i="86"/>
  <c r="B37" i="86"/>
  <c r="C37" i="86"/>
  <c r="B38" i="86"/>
  <c r="C38" i="86"/>
  <c r="B39" i="86"/>
  <c r="C39" i="86"/>
  <c r="B40" i="86"/>
  <c r="C40" i="86"/>
  <c r="B42" i="86"/>
  <c r="C42" i="86"/>
  <c r="B43" i="86"/>
  <c r="C43" i="86"/>
  <c r="B44" i="86"/>
  <c r="C44" i="86"/>
  <c r="B45" i="86"/>
  <c r="C45" i="86"/>
  <c r="B46" i="86"/>
  <c r="C46" i="86"/>
  <c r="B47" i="86"/>
  <c r="C47" i="86"/>
  <c r="B48" i="86"/>
  <c r="C48" i="86"/>
  <c r="B49" i="86"/>
  <c r="C49" i="86"/>
  <c r="B50" i="86"/>
  <c r="C50" i="86"/>
  <c r="B51" i="86"/>
  <c r="C51" i="86"/>
  <c r="B54" i="86"/>
  <c r="C54" i="86"/>
  <c r="B55" i="86"/>
  <c r="C55" i="86"/>
  <c r="B56" i="86"/>
  <c r="C56" i="86"/>
  <c r="B57" i="86"/>
  <c r="C57" i="86"/>
  <c r="B60" i="86"/>
  <c r="C60" i="86"/>
  <c r="C14" i="86"/>
  <c r="B16" i="86"/>
  <c r="C16" i="86"/>
  <c r="B17" i="86"/>
  <c r="C17" i="86"/>
  <c r="B18" i="86"/>
  <c r="C18" i="86"/>
  <c r="B19" i="86"/>
  <c r="C19" i="86"/>
  <c r="B20" i="86"/>
  <c r="C20" i="86"/>
  <c r="B61" i="86"/>
  <c r="C61" i="86"/>
  <c r="C9" i="86"/>
  <c r="B130" i="86"/>
  <c r="B123" i="86"/>
  <c r="B124" i="86"/>
  <c r="B127" i="86"/>
  <c r="B128" i="86"/>
  <c r="B129" i="86"/>
  <c r="C8" i="119"/>
  <c r="C8" i="118"/>
  <c r="C8" i="95"/>
  <c r="C4" i="120"/>
  <c r="C4" i="119"/>
  <c r="C4" i="118"/>
  <c r="C4" i="95"/>
  <c r="C4" i="116"/>
  <c r="C70" i="120"/>
  <c r="B70" i="120"/>
  <c r="C69" i="120"/>
  <c r="B69" i="120"/>
  <c r="C68" i="120"/>
  <c r="B68" i="120"/>
  <c r="C67" i="120"/>
  <c r="B67" i="120"/>
  <c r="C66" i="120"/>
  <c r="B66" i="120"/>
  <c r="C65" i="120"/>
  <c r="B65" i="120"/>
  <c r="C64" i="120"/>
  <c r="B64" i="120"/>
  <c r="C63" i="120"/>
  <c r="B63" i="120"/>
  <c r="C70" i="119"/>
  <c r="B70" i="119"/>
  <c r="C69" i="119"/>
  <c r="B69" i="119"/>
  <c r="C68" i="119"/>
  <c r="B68" i="119"/>
  <c r="C67" i="119"/>
  <c r="B67" i="119"/>
  <c r="C66" i="119"/>
  <c r="B66" i="119"/>
  <c r="C65" i="119"/>
  <c r="B65" i="119"/>
  <c r="C64" i="119"/>
  <c r="B64" i="119"/>
  <c r="C63" i="119"/>
  <c r="B63" i="119"/>
  <c r="C70" i="118"/>
  <c r="B70" i="118"/>
  <c r="C69" i="118"/>
  <c r="B69" i="118"/>
  <c r="C68" i="118"/>
  <c r="B68" i="118"/>
  <c r="C67" i="118"/>
  <c r="B67" i="118"/>
  <c r="C66" i="118"/>
  <c r="B66" i="118"/>
  <c r="C65" i="118"/>
  <c r="B65" i="118"/>
  <c r="C64" i="118"/>
  <c r="B64" i="118"/>
  <c r="C63" i="118"/>
  <c r="B63" i="118"/>
  <c r="C70" i="113"/>
  <c r="B70" i="113"/>
  <c r="C69" i="113"/>
  <c r="B69" i="113"/>
  <c r="C68" i="113"/>
  <c r="B68" i="113"/>
  <c r="C67" i="113"/>
  <c r="B67" i="113"/>
  <c r="C66" i="113"/>
  <c r="B66" i="113"/>
  <c r="C65" i="113"/>
  <c r="B65" i="113"/>
  <c r="C64" i="113"/>
  <c r="B64" i="113"/>
  <c r="C63" i="113"/>
  <c r="B63" i="113"/>
  <c r="C70" i="99"/>
  <c r="B70" i="99"/>
  <c r="C69" i="99"/>
  <c r="B69" i="99"/>
  <c r="C68" i="99"/>
  <c r="B68" i="99"/>
  <c r="C67" i="99"/>
  <c r="B67" i="99"/>
  <c r="C66" i="99"/>
  <c r="B66" i="99"/>
  <c r="C65" i="99"/>
  <c r="B65" i="99"/>
  <c r="C64" i="99"/>
  <c r="B64" i="99"/>
  <c r="C63" i="99"/>
  <c r="B63" i="99"/>
  <c r="C70" i="98"/>
  <c r="B70" i="98"/>
  <c r="C69" i="98"/>
  <c r="B69" i="98"/>
  <c r="C68" i="98"/>
  <c r="B68" i="98"/>
  <c r="C67" i="98"/>
  <c r="B67" i="98"/>
  <c r="C66" i="98"/>
  <c r="B66" i="98"/>
  <c r="C65" i="98"/>
  <c r="B65" i="98"/>
  <c r="C64" i="98"/>
  <c r="B64" i="98"/>
  <c r="C63" i="98"/>
  <c r="B63" i="98"/>
  <c r="C70" i="117"/>
  <c r="B70" i="117"/>
  <c r="C69" i="117"/>
  <c r="B69" i="117"/>
  <c r="C68" i="117"/>
  <c r="B68" i="117"/>
  <c r="C67" i="117"/>
  <c r="B67" i="117"/>
  <c r="C66" i="117"/>
  <c r="B66" i="117"/>
  <c r="C65" i="117"/>
  <c r="B65" i="117"/>
  <c r="C64" i="117"/>
  <c r="B64" i="117"/>
  <c r="C63" i="117"/>
  <c r="B63" i="117"/>
  <c r="C70" i="97"/>
  <c r="B70" i="97"/>
  <c r="C69" i="97"/>
  <c r="B69" i="97"/>
  <c r="C68" i="97"/>
  <c r="B68" i="97"/>
  <c r="C67" i="97"/>
  <c r="B67" i="97"/>
  <c r="C66" i="97"/>
  <c r="B66" i="97"/>
  <c r="C65" i="97"/>
  <c r="B65" i="97"/>
  <c r="C64" i="97"/>
  <c r="B64" i="97"/>
  <c r="C63" i="97"/>
  <c r="B63" i="97"/>
  <c r="C70" i="96"/>
  <c r="B70" i="96"/>
  <c r="C69" i="96"/>
  <c r="B69" i="96"/>
  <c r="C68" i="96"/>
  <c r="B68" i="96"/>
  <c r="C67" i="96"/>
  <c r="B67" i="96"/>
  <c r="C66" i="96"/>
  <c r="B66" i="96"/>
  <c r="C65" i="96"/>
  <c r="B65" i="96"/>
  <c r="C64" i="96"/>
  <c r="B64" i="96"/>
  <c r="C63" i="96"/>
  <c r="B63" i="96"/>
  <c r="C70" i="91"/>
  <c r="B70" i="91"/>
  <c r="C69" i="91"/>
  <c r="B69" i="91"/>
  <c r="C68" i="91"/>
  <c r="B68" i="91"/>
  <c r="C67" i="91"/>
  <c r="B67" i="91"/>
  <c r="C66" i="91"/>
  <c r="B66" i="91"/>
  <c r="C65" i="91"/>
  <c r="B65" i="91"/>
  <c r="C64" i="91"/>
  <c r="B64" i="91"/>
  <c r="C63" i="91"/>
  <c r="B63" i="91"/>
  <c r="C8" i="116"/>
  <c r="C70" i="116"/>
  <c r="B70" i="116"/>
  <c r="C69" i="116"/>
  <c r="B69" i="116"/>
  <c r="C68" i="116"/>
  <c r="B68" i="116"/>
  <c r="C67" i="116"/>
  <c r="B67" i="116"/>
  <c r="C66" i="116"/>
  <c r="B66" i="116"/>
  <c r="C65" i="116"/>
  <c r="B65" i="116"/>
  <c r="C64" i="116"/>
  <c r="B64" i="116"/>
  <c r="C63" i="116"/>
  <c r="B63" i="116"/>
  <c r="C65" i="86"/>
  <c r="C66" i="86"/>
  <c r="C67" i="86"/>
  <c r="C68" i="86"/>
  <c r="C69" i="86"/>
  <c r="C70" i="86"/>
  <c r="B69" i="86"/>
  <c r="B70" i="86"/>
  <c r="B66" i="86"/>
  <c r="B67" i="86"/>
  <c r="B68" i="86"/>
  <c r="B65" i="86"/>
  <c r="B64" i="86"/>
  <c r="B63" i="86"/>
  <c r="C64" i="86"/>
  <c r="C122" i="86"/>
  <c r="C123" i="86"/>
  <c r="C124" i="86"/>
  <c r="C127" i="86"/>
  <c r="C128" i="86"/>
  <c r="C129" i="86"/>
  <c r="C130" i="86"/>
  <c r="C131" i="86"/>
  <c r="C132" i="86"/>
  <c r="C133" i="86"/>
  <c r="C134" i="86"/>
  <c r="C121" i="86"/>
  <c r="C8" i="86"/>
  <c r="C63" i="86"/>
  <c r="L18" i="88"/>
  <c r="L19" i="88"/>
  <c r="L20" i="88"/>
  <c r="L21" i="88"/>
  <c r="I18" i="88"/>
  <c r="I19" i="88"/>
  <c r="I20" i="88"/>
  <c r="I21" i="88"/>
  <c r="L17" i="88"/>
  <c r="M17" i="88" s="1"/>
  <c r="M21" i="88"/>
  <c r="J17" i="88"/>
  <c r="K17" i="88" s="1"/>
  <c r="N17" i="88"/>
  <c r="O17" i="88" s="1"/>
  <c r="J18" i="88"/>
  <c r="K18" i="88" s="1"/>
  <c r="M18" i="88"/>
  <c r="N18" i="88"/>
  <c r="J19" i="88"/>
  <c r="K19" i="88" s="1"/>
  <c r="N19" i="88"/>
  <c r="O19" i="88" s="1"/>
  <c r="J20" i="88"/>
  <c r="K20" i="88" s="1"/>
  <c r="M20" i="88"/>
  <c r="N20" i="88"/>
  <c r="O20" i="88" s="1"/>
  <c r="J21" i="88"/>
  <c r="K21" i="88" s="1"/>
  <c r="N21" i="88"/>
  <c r="O21" i="88" s="1"/>
  <c r="M19" i="88"/>
  <c r="O18" i="88"/>
  <c r="I17" i="88"/>
  <c r="J9" i="88"/>
  <c r="K9" i="88" s="1"/>
  <c r="L10" i="88"/>
  <c r="M10" i="88" s="1"/>
  <c r="J6" i="88"/>
  <c r="K6" i="88" s="1"/>
  <c r="K11" i="88" s="1"/>
  <c r="L26" i="88" s="1"/>
  <c r="C15" i="88" s="1"/>
  <c r="L7" i="88"/>
  <c r="M7" i="88" s="1"/>
  <c r="J7" i="88"/>
  <c r="K7" i="88" s="1"/>
  <c r="J8" i="88"/>
  <c r="K8" i="88" s="1"/>
  <c r="L8" i="88"/>
  <c r="M8" i="88" s="1"/>
  <c r="L6" i="88"/>
  <c r="M6" i="88" s="1"/>
  <c r="M11" i="88" s="1"/>
  <c r="L9" i="88"/>
  <c r="M9" i="88" s="1"/>
  <c r="J10" i="88"/>
  <c r="K10" i="88" s="1"/>
  <c r="H10" i="88"/>
  <c r="I10" i="88" s="1"/>
  <c r="H7" i="88"/>
  <c r="I7" i="88" s="1"/>
  <c r="H8" i="88"/>
  <c r="I8" i="88" s="1"/>
  <c r="H9" i="88"/>
  <c r="I9" i="88" s="1"/>
  <c r="E21" i="145" l="1"/>
  <c r="G21" i="145"/>
  <c r="V23" i="94"/>
  <c r="CP23" i="94"/>
  <c r="AA26" i="94"/>
  <c r="CU26" i="94"/>
  <c r="AF25" i="94"/>
  <c r="CZ25" i="94"/>
  <c r="V5" i="94"/>
  <c r="CP5" i="94"/>
  <c r="AE24" i="94"/>
  <c r="CY24" i="94"/>
  <c r="E107" i="134"/>
  <c r="C14" i="145"/>
  <c r="F69" i="86"/>
  <c r="F65" i="86"/>
  <c r="F8" i="98"/>
  <c r="C20" i="145"/>
  <c r="HL7" i="94"/>
  <c r="AB7" i="94"/>
  <c r="CV7" i="94"/>
  <c r="HF5" i="94"/>
  <c r="HF23" i="94"/>
  <c r="CT15" i="94"/>
  <c r="HJ15" i="94"/>
  <c r="Z15" i="94"/>
  <c r="HF14" i="94"/>
  <c r="D14" i="145"/>
  <c r="V14" i="94"/>
  <c r="CP14" i="94"/>
  <c r="DG17" i="94"/>
  <c r="HW17" i="94"/>
  <c r="IU17" i="94"/>
  <c r="GA17" i="94"/>
  <c r="D20" i="145"/>
  <c r="AB17" i="94"/>
  <c r="IJ17" i="94"/>
  <c r="FP17" i="94"/>
  <c r="CV17" i="94"/>
  <c r="HL17" i="94"/>
  <c r="ER17" i="94"/>
  <c r="E107" i="96"/>
  <c r="E111" i="96"/>
  <c r="E134" i="96" s="1"/>
  <c r="H134" i="96" s="1"/>
  <c r="E111" i="91"/>
  <c r="F113" i="123"/>
  <c r="F110" i="95"/>
  <c r="F112" i="96"/>
  <c r="E128" i="140"/>
  <c r="E111" i="140"/>
  <c r="E113" i="140"/>
  <c r="E110" i="140"/>
  <c r="E108" i="140"/>
  <c r="E133" i="140" s="1"/>
  <c r="E107" i="140"/>
  <c r="E112" i="140"/>
  <c r="E106" i="140"/>
  <c r="DK16" i="94"/>
  <c r="AQ16" i="94"/>
  <c r="I5" i="137"/>
  <c r="H5" i="137"/>
  <c r="I5" i="117"/>
  <c r="H5" i="117"/>
  <c r="I5" i="119"/>
  <c r="H5" i="119"/>
  <c r="I5" i="135"/>
  <c r="H5" i="135"/>
  <c r="I5" i="91"/>
  <c r="H5" i="91"/>
  <c r="I5" i="116"/>
  <c r="H5" i="116"/>
  <c r="I5" i="96"/>
  <c r="H5" i="96"/>
  <c r="I5" i="132"/>
  <c r="H5" i="132"/>
  <c r="I5" i="98"/>
  <c r="H5" i="98"/>
  <c r="I5" i="97"/>
  <c r="H5" i="97"/>
  <c r="I5" i="86"/>
  <c r="H5" i="86"/>
  <c r="I5" i="139"/>
  <c r="H5" i="139"/>
  <c r="I5" i="118"/>
  <c r="H5" i="118"/>
  <c r="I5" i="140"/>
  <c r="H5" i="140"/>
  <c r="I5" i="99"/>
  <c r="H5" i="99"/>
  <c r="I5" i="113"/>
  <c r="H5" i="113"/>
  <c r="I5" i="133"/>
  <c r="H5" i="133"/>
  <c r="I5" i="134"/>
  <c r="H5" i="134"/>
  <c r="I5" i="95"/>
  <c r="H5" i="95"/>
  <c r="I5" i="120"/>
  <c r="H5" i="120"/>
  <c r="I5" i="136"/>
  <c r="H5" i="136"/>
  <c r="I5" i="138"/>
  <c r="H5" i="138"/>
  <c r="I5" i="123"/>
  <c r="H5" i="123"/>
  <c r="F19" i="91"/>
  <c r="F51" i="91"/>
  <c r="F43" i="91"/>
  <c r="F34" i="91"/>
  <c r="F25" i="91"/>
  <c r="F30" i="139"/>
  <c r="F29" i="91"/>
  <c r="F21" i="91"/>
  <c r="F55" i="138"/>
  <c r="F45" i="138"/>
  <c r="F36" i="138"/>
  <c r="F27" i="138"/>
  <c r="F19" i="140"/>
  <c r="F51" i="140"/>
  <c r="F43" i="140"/>
  <c r="F34" i="140"/>
  <c r="F25" i="140"/>
  <c r="F11" i="140"/>
  <c r="IB6" i="94"/>
  <c r="F39" i="139"/>
  <c r="F51" i="134"/>
  <c r="F48" i="139"/>
  <c r="F37" i="119"/>
  <c r="F28" i="119"/>
  <c r="F14" i="119"/>
  <c r="F20" i="113"/>
  <c r="F54" i="113"/>
  <c r="F44" i="113"/>
  <c r="F26" i="113"/>
  <c r="F40" i="98"/>
  <c r="F23" i="98"/>
  <c r="F57" i="97"/>
  <c r="F38" i="97"/>
  <c r="F22" i="139"/>
  <c r="F55" i="118"/>
  <c r="F57" i="137"/>
  <c r="F47" i="137"/>
  <c r="F38" i="137"/>
  <c r="F29" i="137"/>
  <c r="F21" i="137"/>
  <c r="F23" i="96"/>
  <c r="F60" i="139"/>
  <c r="F9" i="139"/>
  <c r="F20" i="118"/>
  <c r="F19" i="136"/>
  <c r="F51" i="136"/>
  <c r="F43" i="136"/>
  <c r="F33" i="136"/>
  <c r="F24" i="136"/>
  <c r="F11" i="136"/>
  <c r="F56" i="137"/>
  <c r="F46" i="137"/>
  <c r="F37" i="137"/>
  <c r="F28" i="137"/>
  <c r="F14" i="137"/>
  <c r="F48" i="120"/>
  <c r="F39" i="120"/>
  <c r="F30" i="120"/>
  <c r="F22" i="120"/>
  <c r="F9" i="120"/>
  <c r="F17" i="135"/>
  <c r="F49" i="135"/>
  <c r="F40" i="135"/>
  <c r="F31" i="135"/>
  <c r="F23" i="135"/>
  <c r="F10" i="135"/>
  <c r="IA16" i="94"/>
  <c r="F20" i="136"/>
  <c r="F54" i="136"/>
  <c r="F44" i="136"/>
  <c r="F34" i="136"/>
  <c r="F25" i="136"/>
  <c r="F12" i="136"/>
  <c r="F12" i="133"/>
  <c r="F57" i="120"/>
  <c r="F29" i="120"/>
  <c r="F61" i="140"/>
  <c r="F55" i="140"/>
  <c r="F45" i="140"/>
  <c r="F36" i="140"/>
  <c r="F27" i="140"/>
  <c r="F13" i="140"/>
  <c r="F113" i="124"/>
  <c r="F108" i="124"/>
  <c r="I5" i="124"/>
  <c r="H5" i="124"/>
  <c r="F8" i="138"/>
  <c r="F8" i="140"/>
  <c r="F14" i="145"/>
  <c r="D15" i="145"/>
  <c r="F4" i="96"/>
  <c r="F5" i="96" s="1"/>
  <c r="F20" i="145"/>
  <c r="AI26" i="94"/>
  <c r="DF7" i="94"/>
  <c r="HV7" i="94"/>
  <c r="HY6" i="94"/>
  <c r="AO6" i="94"/>
  <c r="DI6" i="94"/>
  <c r="IW6" i="94"/>
  <c r="AI16" i="94"/>
  <c r="DB25" i="94"/>
  <c r="AH25" i="94"/>
  <c r="F67" i="134"/>
  <c r="F67" i="138"/>
  <c r="F69" i="132"/>
  <c r="F65" i="91"/>
  <c r="F65" i="138"/>
  <c r="F69" i="138"/>
  <c r="F65" i="97"/>
  <c r="F65" i="139"/>
  <c r="F69" i="139"/>
  <c r="F69" i="140"/>
  <c r="F63" i="132"/>
  <c r="F66" i="124"/>
  <c r="F70" i="124"/>
  <c r="F67" i="132"/>
  <c r="F67" i="96"/>
  <c r="B86" i="117"/>
  <c r="B84" i="97"/>
  <c r="B86" i="98"/>
  <c r="B123" i="113"/>
  <c r="B85" i="97"/>
  <c r="B84" i="98"/>
  <c r="B86" i="113"/>
  <c r="B128" i="120"/>
  <c r="B85" i="98"/>
  <c r="B84" i="113"/>
  <c r="B86" i="118"/>
  <c r="B128" i="118"/>
  <c r="B128" i="119"/>
  <c r="B85" i="113"/>
  <c r="B85" i="118"/>
  <c r="B92" i="96"/>
  <c r="B84" i="119"/>
  <c r="B130" i="117"/>
  <c r="E111" i="117"/>
  <c r="B130" i="99"/>
  <c r="E112" i="117"/>
  <c r="I112" i="117" s="1"/>
  <c r="E105" i="117"/>
  <c r="E132" i="117" s="1"/>
  <c r="B130" i="95"/>
  <c r="B130" i="98"/>
  <c r="E128" i="117"/>
  <c r="B130" i="123"/>
  <c r="B130" i="91"/>
  <c r="B130" i="116"/>
  <c r="B130" i="97"/>
  <c r="E107" i="117"/>
  <c r="B100" i="120"/>
  <c r="B130" i="96"/>
  <c r="F134" i="96"/>
  <c r="B93" i="96"/>
  <c r="B84" i="120"/>
  <c r="B85" i="120"/>
  <c r="B129" i="118"/>
  <c r="B130" i="119"/>
  <c r="B125" i="91"/>
  <c r="B125" i="95"/>
  <c r="B84" i="118"/>
  <c r="B86" i="120"/>
  <c r="B125" i="99"/>
  <c r="B86" i="119"/>
  <c r="B76" i="86"/>
  <c r="B76" i="96"/>
  <c r="B77" i="98"/>
  <c r="B75" i="119"/>
  <c r="B77" i="86"/>
  <c r="B75" i="124"/>
  <c r="B76" i="124"/>
  <c r="B75" i="97"/>
  <c r="B76" i="118"/>
  <c r="B124" i="120"/>
  <c r="B85" i="119"/>
  <c r="B75" i="95"/>
  <c r="B77" i="124"/>
  <c r="B75" i="99"/>
  <c r="B77" i="118"/>
  <c r="B125" i="124"/>
  <c r="B76" i="95"/>
  <c r="B77" i="99"/>
  <c r="B76" i="117"/>
  <c r="B122" i="86"/>
  <c r="B75" i="116"/>
  <c r="B77" i="95"/>
  <c r="B77" i="117"/>
  <c r="B75" i="113"/>
  <c r="B77" i="120"/>
  <c r="B125" i="113"/>
  <c r="B75" i="86"/>
  <c r="B77" i="116"/>
  <c r="B76" i="91"/>
  <c r="B75" i="123"/>
  <c r="B76" i="98"/>
  <c r="B103" i="116"/>
  <c r="B103" i="124"/>
  <c r="B77" i="91"/>
  <c r="B103" i="99"/>
  <c r="B77" i="96"/>
  <c r="B75" i="117"/>
  <c r="B75" i="98"/>
  <c r="B75" i="118"/>
  <c r="B75" i="120"/>
  <c r="B87" i="86"/>
  <c r="B88" i="99"/>
  <c r="B88" i="97"/>
  <c r="B88" i="119"/>
  <c r="F112" i="118"/>
  <c r="E128" i="120"/>
  <c r="E107" i="120"/>
  <c r="E105" i="118"/>
  <c r="E132" i="118" s="1"/>
  <c r="E110" i="118"/>
  <c r="F110" i="118" s="1"/>
  <c r="E113" i="117"/>
  <c r="E109" i="99"/>
  <c r="F109" i="99" s="1"/>
  <c r="E110" i="99"/>
  <c r="F110" i="99" s="1"/>
  <c r="E105" i="132"/>
  <c r="E132" i="132" s="1"/>
  <c r="B104" i="116"/>
  <c r="B104" i="124"/>
  <c r="B104" i="99"/>
  <c r="B102" i="123"/>
  <c r="B102" i="97"/>
  <c r="B102" i="113"/>
  <c r="B102" i="119"/>
  <c r="B76" i="120"/>
  <c r="B131" i="116"/>
  <c r="B131" i="95"/>
  <c r="B131" i="124"/>
  <c r="B131" i="91"/>
  <c r="B131" i="99"/>
  <c r="B131" i="96"/>
  <c r="B131" i="123"/>
  <c r="B131" i="117"/>
  <c r="B131" i="97"/>
  <c r="B131" i="98"/>
  <c r="B131" i="113"/>
  <c r="B131" i="118"/>
  <c r="B88" i="86"/>
  <c r="B87" i="91"/>
  <c r="B89" i="99"/>
  <c r="B87" i="117"/>
  <c r="B89" i="97"/>
  <c r="B87" i="118"/>
  <c r="B89" i="119"/>
  <c r="B126" i="96"/>
  <c r="B126" i="97"/>
  <c r="F109" i="124"/>
  <c r="F113" i="99"/>
  <c r="E107" i="118"/>
  <c r="E110" i="117"/>
  <c r="E107" i="99"/>
  <c r="E112" i="91"/>
  <c r="H112" i="91" s="1"/>
  <c r="E128" i="132"/>
  <c r="E111" i="132"/>
  <c r="F111" i="132" s="1"/>
  <c r="B102" i="86"/>
  <c r="B102" i="95"/>
  <c r="B102" i="91"/>
  <c r="B76" i="99"/>
  <c r="B104" i="123"/>
  <c r="B104" i="97"/>
  <c r="B104" i="113"/>
  <c r="B104" i="119"/>
  <c r="B122" i="116"/>
  <c r="B122" i="95"/>
  <c r="B122" i="124"/>
  <c r="B122" i="91"/>
  <c r="B122" i="99"/>
  <c r="B122" i="96"/>
  <c r="B122" i="123"/>
  <c r="B122" i="117"/>
  <c r="B122" i="97"/>
  <c r="B122" i="98"/>
  <c r="B122" i="113"/>
  <c r="B122" i="118"/>
  <c r="B87" i="116"/>
  <c r="B87" i="124"/>
  <c r="B89" i="91"/>
  <c r="B87" i="123"/>
  <c r="B89" i="117"/>
  <c r="B87" i="113"/>
  <c r="B89" i="118"/>
  <c r="B125" i="123"/>
  <c r="F111" i="120"/>
  <c r="F110" i="116"/>
  <c r="E105" i="120"/>
  <c r="E132" i="120" s="1"/>
  <c r="E105" i="119"/>
  <c r="E132" i="119" s="1"/>
  <c r="E109" i="117"/>
  <c r="F109" i="117" s="1"/>
  <c r="E108" i="117"/>
  <c r="F108" i="117" s="1"/>
  <c r="E113" i="132"/>
  <c r="I113" i="132" s="1"/>
  <c r="E109" i="132"/>
  <c r="H109" i="132" s="1"/>
  <c r="B126" i="118"/>
  <c r="B103" i="86"/>
  <c r="B103" i="95"/>
  <c r="B103" i="91"/>
  <c r="B88" i="116"/>
  <c r="B88" i="124"/>
  <c r="B88" i="123"/>
  <c r="B88" i="113"/>
  <c r="F112" i="119"/>
  <c r="F110" i="86"/>
  <c r="E110" i="132"/>
  <c r="I110" i="132" s="1"/>
  <c r="B131" i="86"/>
  <c r="B104" i="86"/>
  <c r="B104" i="95"/>
  <c r="B104" i="91"/>
  <c r="B102" i="96"/>
  <c r="B76" i="123"/>
  <c r="B102" i="117"/>
  <c r="B76" i="97"/>
  <c r="B102" i="98"/>
  <c r="B76" i="113"/>
  <c r="B102" i="118"/>
  <c r="B76" i="119"/>
  <c r="B102" i="120"/>
  <c r="B126" i="86"/>
  <c r="B89" i="116"/>
  <c r="B87" i="95"/>
  <c r="B89" i="124"/>
  <c r="B87" i="96"/>
  <c r="B89" i="123"/>
  <c r="B87" i="98"/>
  <c r="B89" i="113"/>
  <c r="B87" i="120"/>
  <c r="F109" i="123"/>
  <c r="E109" i="120"/>
  <c r="F109" i="120" s="1"/>
  <c r="E109" i="118"/>
  <c r="F109" i="118" s="1"/>
  <c r="E106" i="118"/>
  <c r="E111" i="99"/>
  <c r="E134" i="99" s="1"/>
  <c r="E106" i="99"/>
  <c r="E107" i="132"/>
  <c r="E108" i="132"/>
  <c r="B126" i="91"/>
  <c r="B75" i="91"/>
  <c r="B75" i="96"/>
  <c r="B103" i="96"/>
  <c r="B77" i="123"/>
  <c r="B103" i="117"/>
  <c r="B77" i="97"/>
  <c r="B103" i="98"/>
  <c r="B77" i="113"/>
  <c r="B103" i="118"/>
  <c r="B77" i="119"/>
  <c r="B103" i="120"/>
  <c r="B88" i="95"/>
  <c r="B88" i="96"/>
  <c r="B88" i="98"/>
  <c r="B88" i="120"/>
  <c r="B126" i="124"/>
  <c r="B126" i="99"/>
  <c r="F111" i="123"/>
  <c r="F111" i="91"/>
  <c r="E113" i="120"/>
  <c r="F113" i="120" s="1"/>
  <c r="E106" i="120"/>
  <c r="E128" i="119"/>
  <c r="E111" i="118"/>
  <c r="E134" i="118" s="1"/>
  <c r="E108" i="99"/>
  <c r="F108" i="99" s="1"/>
  <c r="E112" i="132"/>
  <c r="B102" i="116"/>
  <c r="B102" i="124"/>
  <c r="B102" i="99"/>
  <c r="B104" i="96"/>
  <c r="B104" i="117"/>
  <c r="B104" i="98"/>
  <c r="B104" i="118"/>
  <c r="B104" i="120"/>
  <c r="B130" i="118"/>
  <c r="B126" i="116"/>
  <c r="B89" i="95"/>
  <c r="B87" i="99"/>
  <c r="B89" i="96"/>
  <c r="B87" i="97"/>
  <c r="B89" i="98"/>
  <c r="B87" i="119"/>
  <c r="B89" i="120"/>
  <c r="B126" i="113"/>
  <c r="F134" i="120"/>
  <c r="F110" i="123"/>
  <c r="E110" i="120"/>
  <c r="F110" i="120" s="1"/>
  <c r="E108" i="118"/>
  <c r="E133" i="118" s="1"/>
  <c r="E112" i="99"/>
  <c r="F112" i="99" s="1"/>
  <c r="E105" i="99"/>
  <c r="E132" i="99" s="1"/>
  <c r="B122" i="119"/>
  <c r="B129" i="119"/>
  <c r="B90" i="96"/>
  <c r="B130" i="120"/>
  <c r="B126" i="123"/>
  <c r="B123" i="119"/>
  <c r="B126" i="98"/>
  <c r="B95" i="96"/>
  <c r="B126" i="117"/>
  <c r="B123" i="120"/>
  <c r="B125" i="97"/>
  <c r="E121" i="113"/>
  <c r="E133" i="123"/>
  <c r="H108" i="123"/>
  <c r="I108" i="123"/>
  <c r="I112" i="96"/>
  <c r="H112" i="96"/>
  <c r="I111" i="96"/>
  <c r="H111" i="96"/>
  <c r="H110" i="124"/>
  <c r="I110" i="124"/>
  <c r="H112" i="116"/>
  <c r="I112" i="116"/>
  <c r="E133" i="116"/>
  <c r="H108" i="116"/>
  <c r="I108" i="116"/>
  <c r="E121" i="116"/>
  <c r="B75" i="132"/>
  <c r="B83" i="132"/>
  <c r="B91" i="132"/>
  <c r="B99" i="132"/>
  <c r="B76" i="133"/>
  <c r="B84" i="133"/>
  <c r="B92" i="133"/>
  <c r="B100" i="133"/>
  <c r="B125" i="133"/>
  <c r="B129" i="133"/>
  <c r="B76" i="134"/>
  <c r="B84" i="134"/>
  <c r="B92" i="134"/>
  <c r="B100" i="134"/>
  <c r="B125" i="134"/>
  <c r="B129" i="134"/>
  <c r="E121" i="134"/>
  <c r="B76" i="135"/>
  <c r="B84" i="135"/>
  <c r="B92" i="135"/>
  <c r="B100" i="135"/>
  <c r="B125" i="135"/>
  <c r="B129" i="135"/>
  <c r="B79" i="136"/>
  <c r="B87" i="136"/>
  <c r="B95" i="136"/>
  <c r="B103" i="136"/>
  <c r="I109" i="136"/>
  <c r="H109" i="136"/>
  <c r="B75" i="137"/>
  <c r="B83" i="137"/>
  <c r="B91" i="137"/>
  <c r="B99" i="137"/>
  <c r="I112" i="137"/>
  <c r="H112" i="137"/>
  <c r="B78" i="138"/>
  <c r="B86" i="138"/>
  <c r="B94" i="138"/>
  <c r="B102" i="138"/>
  <c r="B122" i="138"/>
  <c r="B126" i="138"/>
  <c r="B130" i="138"/>
  <c r="B82" i="139"/>
  <c r="B90" i="139"/>
  <c r="B98" i="139"/>
  <c r="B124" i="139"/>
  <c r="B128" i="139"/>
  <c r="B75" i="140"/>
  <c r="B83" i="140"/>
  <c r="B91" i="140"/>
  <c r="B99" i="140"/>
  <c r="I110" i="140"/>
  <c r="H110" i="140"/>
  <c r="E122" i="132"/>
  <c r="E121" i="136"/>
  <c r="E134" i="139"/>
  <c r="H134" i="139" s="1"/>
  <c r="I111" i="139"/>
  <c r="H111" i="139"/>
  <c r="B122" i="120"/>
  <c r="B91" i="96"/>
  <c r="B125" i="120"/>
  <c r="E121" i="96"/>
  <c r="I109" i="116"/>
  <c r="H109" i="116"/>
  <c r="I112" i="86"/>
  <c r="H112" i="86"/>
  <c r="E134" i="86"/>
  <c r="F134" i="86" s="1"/>
  <c r="I111" i="86"/>
  <c r="H111" i="86"/>
  <c r="B76" i="132"/>
  <c r="B84" i="132"/>
  <c r="B92" i="132"/>
  <c r="B100" i="132"/>
  <c r="B125" i="132"/>
  <c r="B129" i="132"/>
  <c r="B77" i="133"/>
  <c r="B85" i="133"/>
  <c r="B93" i="133"/>
  <c r="B101" i="133"/>
  <c r="B77" i="134"/>
  <c r="B85" i="134"/>
  <c r="B93" i="134"/>
  <c r="B101" i="134"/>
  <c r="B77" i="135"/>
  <c r="B85" i="135"/>
  <c r="B93" i="135"/>
  <c r="B101" i="135"/>
  <c r="I112" i="135"/>
  <c r="H112" i="135"/>
  <c r="B80" i="136"/>
  <c r="B88" i="136"/>
  <c r="B96" i="136"/>
  <c r="B104" i="136"/>
  <c r="B123" i="136"/>
  <c r="B127" i="136"/>
  <c r="B131" i="136"/>
  <c r="I113" i="136"/>
  <c r="H113" i="136"/>
  <c r="B76" i="137"/>
  <c r="B84" i="137"/>
  <c r="B92" i="137"/>
  <c r="B100" i="137"/>
  <c r="B125" i="137"/>
  <c r="B129" i="137"/>
  <c r="B79" i="138"/>
  <c r="B87" i="138"/>
  <c r="B95" i="138"/>
  <c r="B103" i="138"/>
  <c r="I111" i="138"/>
  <c r="H111" i="138"/>
  <c r="B75" i="139"/>
  <c r="B83" i="139"/>
  <c r="B91" i="139"/>
  <c r="B99" i="139"/>
  <c r="B76" i="140"/>
  <c r="B84" i="140"/>
  <c r="B92" i="140"/>
  <c r="B100" i="140"/>
  <c r="B125" i="140"/>
  <c r="B129" i="140"/>
  <c r="I108" i="118"/>
  <c r="I113" i="118"/>
  <c r="H113" i="118"/>
  <c r="H110" i="96"/>
  <c r="I110" i="96"/>
  <c r="I113" i="99"/>
  <c r="H113" i="99"/>
  <c r="I109" i="86"/>
  <c r="H109" i="86"/>
  <c r="E133" i="86"/>
  <c r="F133" i="86" s="1"/>
  <c r="I108" i="86"/>
  <c r="H108" i="86"/>
  <c r="B77" i="132"/>
  <c r="B85" i="132"/>
  <c r="B93" i="132"/>
  <c r="B101" i="132"/>
  <c r="I109" i="132"/>
  <c r="B78" i="133"/>
  <c r="B86" i="133"/>
  <c r="B94" i="133"/>
  <c r="B102" i="133"/>
  <c r="B122" i="133"/>
  <c r="B126" i="133"/>
  <c r="B130" i="133"/>
  <c r="B78" i="134"/>
  <c r="B86" i="134"/>
  <c r="B94" i="134"/>
  <c r="B102" i="134"/>
  <c r="B122" i="134"/>
  <c r="B126" i="134"/>
  <c r="B130" i="134"/>
  <c r="B78" i="135"/>
  <c r="B86" i="135"/>
  <c r="B94" i="135"/>
  <c r="B102" i="135"/>
  <c r="B122" i="135"/>
  <c r="B126" i="135"/>
  <c r="B130" i="135"/>
  <c r="B81" i="136"/>
  <c r="B89" i="136"/>
  <c r="B97" i="136"/>
  <c r="H110" i="136"/>
  <c r="I110" i="136"/>
  <c r="I108" i="136"/>
  <c r="H108" i="136"/>
  <c r="B77" i="137"/>
  <c r="B85" i="137"/>
  <c r="B93" i="137"/>
  <c r="B101" i="137"/>
  <c r="I111" i="137"/>
  <c r="H111" i="137"/>
  <c r="B80" i="138"/>
  <c r="B88" i="138"/>
  <c r="B96" i="138"/>
  <c r="B104" i="138"/>
  <c r="B123" i="138"/>
  <c r="B127" i="138"/>
  <c r="B131" i="138"/>
  <c r="B76" i="139"/>
  <c r="B84" i="139"/>
  <c r="B92" i="139"/>
  <c r="B100" i="139"/>
  <c r="B125" i="139"/>
  <c r="B129" i="139"/>
  <c r="B77" i="140"/>
  <c r="B85" i="140"/>
  <c r="B93" i="140"/>
  <c r="B101" i="140"/>
  <c r="I112" i="140"/>
  <c r="H112" i="140"/>
  <c r="B131" i="120"/>
  <c r="B124" i="119"/>
  <c r="E121" i="98"/>
  <c r="I113" i="117"/>
  <c r="H113" i="117"/>
  <c r="H110" i="99"/>
  <c r="E121" i="124"/>
  <c r="I113" i="95"/>
  <c r="H113" i="95"/>
  <c r="B78" i="132"/>
  <c r="B86" i="132"/>
  <c r="B94" i="132"/>
  <c r="B102" i="132"/>
  <c r="B122" i="132"/>
  <c r="B126" i="132"/>
  <c r="B130" i="132"/>
  <c r="B79" i="133"/>
  <c r="B87" i="133"/>
  <c r="B95" i="133"/>
  <c r="B103" i="133"/>
  <c r="B79" i="134"/>
  <c r="B87" i="134"/>
  <c r="B95" i="134"/>
  <c r="B103" i="134"/>
  <c r="B79" i="135"/>
  <c r="B87" i="135"/>
  <c r="B95" i="135"/>
  <c r="B103" i="135"/>
  <c r="I111" i="135"/>
  <c r="H111" i="135"/>
  <c r="B82" i="136"/>
  <c r="B90" i="136"/>
  <c r="B98" i="136"/>
  <c r="B124" i="136"/>
  <c r="B128" i="136"/>
  <c r="B78" i="137"/>
  <c r="B86" i="137"/>
  <c r="B94" i="137"/>
  <c r="B102" i="137"/>
  <c r="B122" i="137"/>
  <c r="B126" i="137"/>
  <c r="B130" i="137"/>
  <c r="F111" i="137"/>
  <c r="B81" i="138"/>
  <c r="B89" i="138"/>
  <c r="B97" i="138"/>
  <c r="I109" i="138"/>
  <c r="H109" i="138"/>
  <c r="B77" i="139"/>
  <c r="B85" i="139"/>
  <c r="B93" i="139"/>
  <c r="B101" i="139"/>
  <c r="B78" i="140"/>
  <c r="B86" i="140"/>
  <c r="B94" i="140"/>
  <c r="B102" i="140"/>
  <c r="B122" i="140"/>
  <c r="B126" i="140"/>
  <c r="B130" i="140"/>
  <c r="E121" i="139"/>
  <c r="B126" i="120"/>
  <c r="E133" i="120"/>
  <c r="H133" i="120" s="1"/>
  <c r="I108" i="120"/>
  <c r="H108" i="120"/>
  <c r="I113" i="98"/>
  <c r="H113" i="98"/>
  <c r="H110" i="117"/>
  <c r="I110" i="117"/>
  <c r="I113" i="123"/>
  <c r="H113" i="123"/>
  <c r="I112" i="124"/>
  <c r="H112" i="124"/>
  <c r="H112" i="95"/>
  <c r="I112" i="95"/>
  <c r="E134" i="95"/>
  <c r="F134" i="95" s="1"/>
  <c r="I111" i="95"/>
  <c r="H111" i="95"/>
  <c r="I110" i="95"/>
  <c r="H110" i="95"/>
  <c r="I113" i="116"/>
  <c r="H113" i="116"/>
  <c r="I113" i="86"/>
  <c r="H113" i="86"/>
  <c r="B79" i="132"/>
  <c r="B87" i="132"/>
  <c r="B95" i="132"/>
  <c r="B103" i="132"/>
  <c r="E133" i="132"/>
  <c r="F133" i="132" s="1"/>
  <c r="H108" i="132"/>
  <c r="I108" i="132"/>
  <c r="B80" i="133"/>
  <c r="B88" i="133"/>
  <c r="B96" i="133"/>
  <c r="B104" i="133"/>
  <c r="B123" i="133"/>
  <c r="B127" i="133"/>
  <c r="B131" i="133"/>
  <c r="B80" i="134"/>
  <c r="B88" i="134"/>
  <c r="B96" i="134"/>
  <c r="B104" i="134"/>
  <c r="B123" i="134"/>
  <c r="B127" i="134"/>
  <c r="B131" i="134"/>
  <c r="B80" i="135"/>
  <c r="B88" i="135"/>
  <c r="B96" i="135"/>
  <c r="B104" i="135"/>
  <c r="B123" i="135"/>
  <c r="B127" i="135"/>
  <c r="B131" i="135"/>
  <c r="B75" i="136"/>
  <c r="B83" i="136"/>
  <c r="B91" i="136"/>
  <c r="B99" i="136"/>
  <c r="I112" i="136"/>
  <c r="H112" i="136"/>
  <c r="B79" i="137"/>
  <c r="B87" i="137"/>
  <c r="B95" i="137"/>
  <c r="B103" i="137"/>
  <c r="I109" i="137"/>
  <c r="H109" i="137"/>
  <c r="B82" i="138"/>
  <c r="B90" i="138"/>
  <c r="B98" i="138"/>
  <c r="B124" i="138"/>
  <c r="B128" i="138"/>
  <c r="E134" i="138"/>
  <c r="I134" i="138" s="1"/>
  <c r="I113" i="138"/>
  <c r="H113" i="138"/>
  <c r="B78" i="139"/>
  <c r="B86" i="139"/>
  <c r="B94" i="139"/>
  <c r="B102" i="139"/>
  <c r="B122" i="139"/>
  <c r="B126" i="139"/>
  <c r="B130" i="139"/>
  <c r="B79" i="140"/>
  <c r="B87" i="140"/>
  <c r="B95" i="140"/>
  <c r="B103" i="140"/>
  <c r="E134" i="140"/>
  <c r="I134" i="140" s="1"/>
  <c r="I111" i="140"/>
  <c r="H111" i="140"/>
  <c r="B129" i="120"/>
  <c r="B94" i="96"/>
  <c r="B125" i="119"/>
  <c r="I111" i="120"/>
  <c r="H111" i="120"/>
  <c r="H112" i="119"/>
  <c r="I112" i="119"/>
  <c r="E133" i="119"/>
  <c r="F133" i="119" s="1"/>
  <c r="H108" i="119"/>
  <c r="I108" i="119"/>
  <c r="E134" i="117"/>
  <c r="H134" i="117" s="1"/>
  <c r="I111" i="117"/>
  <c r="H111" i="117"/>
  <c r="I110" i="123"/>
  <c r="H110" i="123"/>
  <c r="E122" i="99"/>
  <c r="E134" i="91"/>
  <c r="I134" i="91" s="1"/>
  <c r="I111" i="91"/>
  <c r="H111" i="91"/>
  <c r="I109" i="124"/>
  <c r="H109" i="124"/>
  <c r="E134" i="124"/>
  <c r="F134" i="124" s="1"/>
  <c r="I111" i="124"/>
  <c r="H111" i="124"/>
  <c r="I109" i="95"/>
  <c r="H109" i="95"/>
  <c r="E133" i="95"/>
  <c r="H133" i="95" s="1"/>
  <c r="H108" i="95"/>
  <c r="I108" i="95"/>
  <c r="I110" i="116"/>
  <c r="H110" i="116"/>
  <c r="H110" i="86"/>
  <c r="I110" i="86"/>
  <c r="B80" i="132"/>
  <c r="B88" i="132"/>
  <c r="B96" i="132"/>
  <c r="B104" i="132"/>
  <c r="B123" i="132"/>
  <c r="B127" i="132"/>
  <c r="B131" i="132"/>
  <c r="H112" i="132"/>
  <c r="I112" i="132"/>
  <c r="B81" i="133"/>
  <c r="B89" i="133"/>
  <c r="B97" i="133"/>
  <c r="B81" i="134"/>
  <c r="B89" i="134"/>
  <c r="B97" i="134"/>
  <c r="B81" i="135"/>
  <c r="B89" i="135"/>
  <c r="B97" i="135"/>
  <c r="I109" i="135"/>
  <c r="H109" i="135"/>
  <c r="B76" i="136"/>
  <c r="B84" i="136"/>
  <c r="B92" i="136"/>
  <c r="B100" i="136"/>
  <c r="B125" i="136"/>
  <c r="B129" i="136"/>
  <c r="B80" i="137"/>
  <c r="B88" i="137"/>
  <c r="B96" i="137"/>
  <c r="B104" i="137"/>
  <c r="B123" i="137"/>
  <c r="B127" i="137"/>
  <c r="B131" i="137"/>
  <c r="I113" i="137"/>
  <c r="H113" i="137"/>
  <c r="B75" i="138"/>
  <c r="B83" i="138"/>
  <c r="B91" i="138"/>
  <c r="B99" i="138"/>
  <c r="I110" i="138"/>
  <c r="H110" i="138"/>
  <c r="H108" i="138"/>
  <c r="I108" i="138"/>
  <c r="B79" i="139"/>
  <c r="B87" i="139"/>
  <c r="B95" i="139"/>
  <c r="B103" i="139"/>
  <c r="B80" i="140"/>
  <c r="B88" i="140"/>
  <c r="B96" i="140"/>
  <c r="B104" i="140"/>
  <c r="B123" i="140"/>
  <c r="B127" i="140"/>
  <c r="B131" i="140"/>
  <c r="B125" i="96"/>
  <c r="B125" i="117"/>
  <c r="B125" i="98"/>
  <c r="B125" i="118"/>
  <c r="E121" i="119"/>
  <c r="E121" i="118"/>
  <c r="E121" i="97"/>
  <c r="I109" i="117"/>
  <c r="H109" i="117"/>
  <c r="E133" i="117"/>
  <c r="F133" i="117" s="1"/>
  <c r="I108" i="117"/>
  <c r="H108" i="117"/>
  <c r="E122" i="117"/>
  <c r="H112" i="123"/>
  <c r="I112" i="123"/>
  <c r="E121" i="91"/>
  <c r="E133" i="124"/>
  <c r="F133" i="124" s="1"/>
  <c r="I108" i="124"/>
  <c r="H108" i="124"/>
  <c r="B81" i="132"/>
  <c r="B89" i="132"/>
  <c r="B97" i="132"/>
  <c r="B82" i="133"/>
  <c r="B90" i="133"/>
  <c r="B98" i="133"/>
  <c r="B124" i="133"/>
  <c r="B128" i="133"/>
  <c r="B82" i="134"/>
  <c r="B90" i="134"/>
  <c r="B98" i="134"/>
  <c r="B124" i="134"/>
  <c r="B128" i="134"/>
  <c r="E122" i="134"/>
  <c r="B82" i="135"/>
  <c r="B90" i="135"/>
  <c r="B98" i="135"/>
  <c r="B124" i="135"/>
  <c r="B128" i="135"/>
  <c r="I113" i="135"/>
  <c r="H113" i="135"/>
  <c r="B77" i="136"/>
  <c r="B85" i="136"/>
  <c r="B93" i="136"/>
  <c r="B101" i="136"/>
  <c r="E134" i="136"/>
  <c r="H134" i="136" s="1"/>
  <c r="I111" i="136"/>
  <c r="H111" i="136"/>
  <c r="B81" i="137"/>
  <c r="B89" i="137"/>
  <c r="B97" i="137"/>
  <c r="I110" i="137"/>
  <c r="H110" i="137"/>
  <c r="E133" i="137"/>
  <c r="F133" i="137" s="1"/>
  <c r="I108" i="137"/>
  <c r="H108" i="137"/>
  <c r="B76" i="138"/>
  <c r="B84" i="138"/>
  <c r="B92" i="138"/>
  <c r="B100" i="138"/>
  <c r="B125" i="138"/>
  <c r="B129" i="138"/>
  <c r="B80" i="139"/>
  <c r="B88" i="139"/>
  <c r="B96" i="139"/>
  <c r="B104" i="139"/>
  <c r="B123" i="139"/>
  <c r="B127" i="139"/>
  <c r="B131" i="139"/>
  <c r="B81" i="140"/>
  <c r="B89" i="140"/>
  <c r="B97" i="140"/>
  <c r="I109" i="140"/>
  <c r="H109" i="140"/>
  <c r="B131" i="119"/>
  <c r="B126" i="119"/>
  <c r="E121" i="120"/>
  <c r="I112" i="120"/>
  <c r="H112" i="120"/>
  <c r="E122" i="120"/>
  <c r="I113" i="119"/>
  <c r="H113" i="119"/>
  <c r="I112" i="118"/>
  <c r="H112" i="118"/>
  <c r="E122" i="113"/>
  <c r="E121" i="117"/>
  <c r="I109" i="123"/>
  <c r="H109" i="123"/>
  <c r="E134" i="123"/>
  <c r="I134" i="123" s="1"/>
  <c r="I111" i="123"/>
  <c r="H111" i="123"/>
  <c r="I113" i="124"/>
  <c r="H113" i="124"/>
  <c r="E121" i="95"/>
  <c r="E134" i="116"/>
  <c r="H134" i="116" s="1"/>
  <c r="I111" i="116"/>
  <c r="H111" i="116"/>
  <c r="E122" i="116"/>
  <c r="B82" i="132"/>
  <c r="B90" i="132"/>
  <c r="B98" i="132"/>
  <c r="B124" i="132"/>
  <c r="B128" i="132"/>
  <c r="B75" i="133"/>
  <c r="B83" i="133"/>
  <c r="B91" i="133"/>
  <c r="B99" i="133"/>
  <c r="B75" i="134"/>
  <c r="B83" i="134"/>
  <c r="B91" i="134"/>
  <c r="B99" i="134"/>
  <c r="B75" i="135"/>
  <c r="B83" i="135"/>
  <c r="B91" i="135"/>
  <c r="B99" i="135"/>
  <c r="H110" i="135"/>
  <c r="I110" i="135"/>
  <c r="E133" i="135"/>
  <c r="H133" i="135" s="1"/>
  <c r="I108" i="135"/>
  <c r="H108" i="135"/>
  <c r="B86" i="136"/>
  <c r="B94" i="136"/>
  <c r="B102" i="136"/>
  <c r="B122" i="136"/>
  <c r="B126" i="136"/>
  <c r="B130" i="136"/>
  <c r="B82" i="137"/>
  <c r="B90" i="137"/>
  <c r="B98" i="137"/>
  <c r="B124" i="137"/>
  <c r="B128" i="137"/>
  <c r="B77" i="138"/>
  <c r="B93" i="138"/>
  <c r="B101" i="138"/>
  <c r="H112" i="138"/>
  <c r="I112" i="138"/>
  <c r="B81" i="139"/>
  <c r="B97" i="139"/>
  <c r="B82" i="140"/>
  <c r="B90" i="140"/>
  <c r="B128" i="140"/>
  <c r="I113" i="140"/>
  <c r="H113" i="140"/>
  <c r="F56" i="113"/>
  <c r="F46" i="113"/>
  <c r="F37" i="113"/>
  <c r="F28" i="113"/>
  <c r="F14" i="113"/>
  <c r="F27" i="132"/>
  <c r="F16" i="132"/>
  <c r="F61" i="132"/>
  <c r="F55" i="132"/>
  <c r="F45" i="132"/>
  <c r="F36" i="132"/>
  <c r="F57" i="133"/>
  <c r="F47" i="133"/>
  <c r="F38" i="133"/>
  <c r="F29" i="133"/>
  <c r="F21" i="133"/>
  <c r="G62" i="138"/>
  <c r="IY16" i="94" s="1"/>
  <c r="F61" i="123"/>
  <c r="F55" i="123"/>
  <c r="F45" i="123"/>
  <c r="F36" i="123"/>
  <c r="F27" i="123"/>
  <c r="F16" i="123"/>
  <c r="F49" i="134"/>
  <c r="F40" i="134"/>
  <c r="F31" i="134"/>
  <c r="F23" i="134"/>
  <c r="F10" i="134"/>
  <c r="G62" i="140"/>
  <c r="IZ6" i="94" s="1"/>
  <c r="F17" i="91"/>
  <c r="F49" i="91"/>
  <c r="F40" i="91"/>
  <c r="F31" i="91"/>
  <c r="F49" i="119"/>
  <c r="F19" i="96"/>
  <c r="F51" i="96"/>
  <c r="F43" i="96"/>
  <c r="F34" i="96"/>
  <c r="F25" i="96"/>
  <c r="F12" i="96"/>
  <c r="HT27" i="94"/>
  <c r="G62" i="98"/>
  <c r="G62" i="119"/>
  <c r="IM24" i="94" s="1"/>
  <c r="G62" i="120"/>
  <c r="IN25" i="94" s="1"/>
  <c r="G62" i="113"/>
  <c r="G62" i="118"/>
  <c r="F8" i="139"/>
  <c r="F4" i="118"/>
  <c r="F5" i="118" s="1"/>
  <c r="F8" i="137"/>
  <c r="F8" i="113"/>
  <c r="F8" i="135"/>
  <c r="F4" i="119"/>
  <c r="F5" i="119" s="1"/>
  <c r="F8" i="117"/>
  <c r="AG24" i="94"/>
  <c r="HQ24" i="94"/>
  <c r="DA24" i="94"/>
  <c r="AI6" i="94"/>
  <c r="G62" i="137"/>
  <c r="F8" i="133"/>
  <c r="F8" i="132"/>
  <c r="G62" i="139"/>
  <c r="G62" i="123"/>
  <c r="IJ7" i="94" s="1"/>
  <c r="G62" i="97"/>
  <c r="G62" i="117"/>
  <c r="F64" i="120"/>
  <c r="F64" i="140"/>
  <c r="F64" i="139"/>
  <c r="F64" i="97"/>
  <c r="F64" i="117"/>
  <c r="F64" i="123"/>
  <c r="F64" i="136"/>
  <c r="F64" i="91"/>
  <c r="G62" i="96"/>
  <c r="II26" i="94" s="1"/>
  <c r="F8" i="96"/>
  <c r="G62" i="91"/>
  <c r="F64" i="95"/>
  <c r="G14" i="95"/>
  <c r="G62" i="95" s="1"/>
  <c r="IH15" i="94" s="1"/>
  <c r="F64" i="132"/>
  <c r="G14" i="86"/>
  <c r="G62" i="86" s="1"/>
  <c r="IP25" i="94" s="1"/>
  <c r="AE13" i="130"/>
  <c r="Y13" i="130" s="1"/>
  <c r="AE11" i="130"/>
  <c r="Y11" i="130" s="1"/>
  <c r="AB7" i="130"/>
  <c r="Y7" i="130" s="1"/>
  <c r="AB10" i="130"/>
  <c r="Y10" i="130" s="1"/>
  <c r="AO14" i="130"/>
  <c r="AA14" i="130" s="1"/>
  <c r="AO10" i="130"/>
  <c r="AA10" i="130" s="1"/>
  <c r="AN12" i="130"/>
  <c r="AA12" i="130" s="1"/>
  <c r="AN24" i="130"/>
  <c r="AA24" i="130" s="1"/>
  <c r="AM5" i="130"/>
  <c r="AA5" i="130" s="1"/>
  <c r="AM27" i="130"/>
  <c r="AA27" i="130" s="1"/>
  <c r="AL6" i="130"/>
  <c r="AA6" i="130" s="1"/>
  <c r="AL7" i="130"/>
  <c r="AA7" i="130" s="1"/>
  <c r="AI14" i="130"/>
  <c r="Z14" i="130" s="1"/>
  <c r="AI16" i="130"/>
  <c r="Z16" i="130" s="1"/>
  <c r="AH7" i="130"/>
  <c r="AH9" i="130"/>
  <c r="Z9" i="130" s="1"/>
  <c r="AG5" i="130"/>
  <c r="Z5" i="130" s="1"/>
  <c r="AG7" i="130"/>
  <c r="AD9" i="130"/>
  <c r="Y9" i="130" s="1"/>
  <c r="AD24" i="130"/>
  <c r="Y24" i="130" s="1"/>
  <c r="G62" i="136"/>
  <c r="IR27" i="94" s="1"/>
  <c r="G62" i="99"/>
  <c r="IQ6" i="94" s="1"/>
  <c r="AC15" i="130"/>
  <c r="Y15" i="130" s="1"/>
  <c r="AC14" i="130"/>
  <c r="Y14" i="130" s="1"/>
  <c r="HU8" i="94"/>
  <c r="AK8" i="94"/>
  <c r="IS8" i="94"/>
  <c r="DE8" i="94"/>
  <c r="E35" i="94"/>
  <c r="AB5" i="130"/>
  <c r="Y5" i="130" s="1"/>
  <c r="G62" i="124"/>
  <c r="F63" i="138"/>
  <c r="G62" i="135"/>
  <c r="G62" i="116"/>
  <c r="F63" i="134"/>
  <c r="F63" i="133"/>
  <c r="G62" i="133"/>
  <c r="G62" i="134"/>
  <c r="G62" i="132"/>
  <c r="IO24" i="94" s="1"/>
  <c r="F4" i="124"/>
  <c r="F5" i="124" s="1"/>
  <c r="F70" i="120"/>
  <c r="F66" i="120"/>
  <c r="F69" i="120"/>
  <c r="F65" i="120"/>
  <c r="F4" i="120"/>
  <c r="F5" i="120" s="1"/>
  <c r="F49" i="120"/>
  <c r="F40" i="120"/>
  <c r="F31" i="120"/>
  <c r="F23" i="120"/>
  <c r="F68" i="120"/>
  <c r="F67" i="120"/>
  <c r="F108" i="120"/>
  <c r="H134" i="120"/>
  <c r="F56" i="120"/>
  <c r="F8" i="119"/>
  <c r="F69" i="119"/>
  <c r="F65" i="119"/>
  <c r="E110" i="119"/>
  <c r="F113" i="119"/>
  <c r="E109" i="119"/>
  <c r="E107" i="119"/>
  <c r="F108" i="119"/>
  <c r="E111" i="119"/>
  <c r="F68" i="119"/>
  <c r="E106" i="119"/>
  <c r="F67" i="119"/>
  <c r="F66" i="119"/>
  <c r="F70" i="119"/>
  <c r="F63" i="119"/>
  <c r="F64" i="119"/>
  <c r="I133" i="119"/>
  <c r="H133" i="119"/>
  <c r="F60" i="119"/>
  <c r="F48" i="119"/>
  <c r="F39" i="119"/>
  <c r="F30" i="119"/>
  <c r="F22" i="119"/>
  <c r="F9" i="119"/>
  <c r="F113" i="118"/>
  <c r="F108" i="118"/>
  <c r="F111" i="118"/>
  <c r="F68" i="118"/>
  <c r="F64" i="118"/>
  <c r="F16" i="118"/>
  <c r="F65" i="118"/>
  <c r="F8" i="118"/>
  <c r="F56" i="118"/>
  <c r="F46" i="118"/>
  <c r="F37" i="118"/>
  <c r="F28" i="118"/>
  <c r="F67" i="118"/>
  <c r="F69" i="118"/>
  <c r="F63" i="118"/>
  <c r="F49" i="113"/>
  <c r="F40" i="113"/>
  <c r="F31" i="113"/>
  <c r="F23" i="113"/>
  <c r="E112" i="113"/>
  <c r="E105" i="113"/>
  <c r="E132" i="113" s="1"/>
  <c r="E108" i="113"/>
  <c r="E109" i="113"/>
  <c r="E106" i="113"/>
  <c r="E113" i="113"/>
  <c r="E128" i="113"/>
  <c r="E110" i="113"/>
  <c r="E111" i="113"/>
  <c r="F19" i="98"/>
  <c r="F51" i="98"/>
  <c r="F43" i="98"/>
  <c r="F34" i="98"/>
  <c r="F25" i="98"/>
  <c r="F12" i="98"/>
  <c r="E112" i="98"/>
  <c r="E128" i="98"/>
  <c r="F4" i="98"/>
  <c r="F5" i="98" s="1"/>
  <c r="F113" i="98"/>
  <c r="E109" i="98"/>
  <c r="E110" i="98"/>
  <c r="E111" i="98"/>
  <c r="E107" i="98"/>
  <c r="E108" i="98"/>
  <c r="E105" i="98"/>
  <c r="E132" i="98" s="1"/>
  <c r="E106" i="98"/>
  <c r="F64" i="98"/>
  <c r="F68" i="98"/>
  <c r="F112" i="140"/>
  <c r="F111" i="140"/>
  <c r="F109" i="140"/>
  <c r="F113" i="140"/>
  <c r="F110" i="140"/>
  <c r="F17" i="140"/>
  <c r="F23" i="140"/>
  <c r="F10" i="140"/>
  <c r="E109" i="139"/>
  <c r="F109" i="139" s="1"/>
  <c r="E113" i="139"/>
  <c r="F113" i="139" s="1"/>
  <c r="E110" i="139"/>
  <c r="E108" i="139"/>
  <c r="F108" i="139" s="1"/>
  <c r="E107" i="139"/>
  <c r="E112" i="139"/>
  <c r="F112" i="139" s="1"/>
  <c r="E106" i="139"/>
  <c r="E128" i="139"/>
  <c r="E105" i="139"/>
  <c r="E132" i="139" s="1"/>
  <c r="F111" i="139"/>
  <c r="F134" i="139"/>
  <c r="F18" i="139"/>
  <c r="F50" i="139"/>
  <c r="F42" i="139"/>
  <c r="F33" i="139"/>
  <c r="F24" i="139"/>
  <c r="F11" i="139"/>
  <c r="E109" i="97"/>
  <c r="F109" i="97" s="1"/>
  <c r="E111" i="97"/>
  <c r="E113" i="97"/>
  <c r="F68" i="97"/>
  <c r="F17" i="97"/>
  <c r="F49" i="97"/>
  <c r="F40" i="97"/>
  <c r="F31" i="97"/>
  <c r="F23" i="97"/>
  <c r="F10" i="97"/>
  <c r="E112" i="97"/>
  <c r="F22" i="97"/>
  <c r="F9" i="97"/>
  <c r="E128" i="97"/>
  <c r="E106" i="97"/>
  <c r="E108" i="97"/>
  <c r="E110" i="97"/>
  <c r="F20" i="97"/>
  <c r="F54" i="97"/>
  <c r="F35" i="97"/>
  <c r="F13" i="97"/>
  <c r="E105" i="97"/>
  <c r="E132" i="97" s="1"/>
  <c r="F111" i="117"/>
  <c r="F134" i="117"/>
  <c r="F113" i="117"/>
  <c r="F110" i="117"/>
  <c r="F57" i="117"/>
  <c r="F47" i="117"/>
  <c r="F38" i="117"/>
  <c r="F29" i="117"/>
  <c r="F21" i="117"/>
  <c r="F55" i="117"/>
  <c r="F27" i="117"/>
  <c r="F16" i="117"/>
  <c r="F134" i="123"/>
  <c r="F108" i="123"/>
  <c r="I133" i="123"/>
  <c r="H133" i="123"/>
  <c r="F133" i="123"/>
  <c r="F4" i="123"/>
  <c r="F5" i="123" s="1"/>
  <c r="F113" i="137"/>
  <c r="F60" i="137"/>
  <c r="F48" i="137"/>
  <c r="F39" i="137"/>
  <c r="F30" i="137"/>
  <c r="F22" i="137"/>
  <c r="F9" i="137"/>
  <c r="F68" i="137"/>
  <c r="F109" i="137"/>
  <c r="F134" i="137"/>
  <c r="F108" i="137"/>
  <c r="F4" i="137"/>
  <c r="F5" i="137" s="1"/>
  <c r="F112" i="137"/>
  <c r="F110" i="137"/>
  <c r="H134" i="137"/>
  <c r="E132" i="137"/>
  <c r="F13" i="137"/>
  <c r="F4" i="138"/>
  <c r="F5" i="138" s="1"/>
  <c r="F134" i="138"/>
  <c r="F109" i="138"/>
  <c r="F111" i="138"/>
  <c r="F56" i="138"/>
  <c r="F46" i="138"/>
  <c r="F37" i="138"/>
  <c r="F28" i="138"/>
  <c r="F14" i="138"/>
  <c r="F113" i="138"/>
  <c r="F110" i="138"/>
  <c r="F108" i="138"/>
  <c r="F64" i="138"/>
  <c r="F68" i="138"/>
  <c r="F112" i="138"/>
  <c r="F133" i="138"/>
  <c r="H134" i="138"/>
  <c r="I133" i="138"/>
  <c r="F13" i="96"/>
  <c r="F26" i="96"/>
  <c r="F110" i="96"/>
  <c r="F14" i="96"/>
  <c r="I134" i="96"/>
  <c r="E128" i="96"/>
  <c r="E106" i="96"/>
  <c r="E109" i="96"/>
  <c r="E113" i="96"/>
  <c r="E108" i="96"/>
  <c r="F4" i="136"/>
  <c r="F5" i="136" s="1"/>
  <c r="F108" i="136"/>
  <c r="F113" i="136"/>
  <c r="F111" i="136"/>
  <c r="F109" i="136"/>
  <c r="F110" i="136"/>
  <c r="F112" i="136"/>
  <c r="F10" i="136"/>
  <c r="E133" i="136"/>
  <c r="F111" i="99"/>
  <c r="F68" i="99"/>
  <c r="F67" i="99"/>
  <c r="F63" i="99"/>
  <c r="F47" i="99"/>
  <c r="F29" i="99"/>
  <c r="F25" i="99"/>
  <c r="F64" i="99"/>
  <c r="F70" i="99"/>
  <c r="F66" i="99"/>
  <c r="F65" i="99"/>
  <c r="F69" i="99"/>
  <c r="F134" i="91"/>
  <c r="F4" i="91"/>
  <c r="F5" i="91" s="1"/>
  <c r="E128" i="91"/>
  <c r="E106" i="91"/>
  <c r="H134" i="91"/>
  <c r="E109" i="91"/>
  <c r="E113" i="91"/>
  <c r="E108" i="91"/>
  <c r="E110" i="91"/>
  <c r="E105" i="91"/>
  <c r="E132" i="91" s="1"/>
  <c r="F57" i="124"/>
  <c r="F47" i="124"/>
  <c r="F38" i="124"/>
  <c r="F29" i="124"/>
  <c r="F21" i="124"/>
  <c r="F70" i="95"/>
  <c r="F65" i="95"/>
  <c r="F109" i="95"/>
  <c r="F67" i="95"/>
  <c r="F63" i="95"/>
  <c r="F108" i="95"/>
  <c r="F4" i="95"/>
  <c r="F5" i="95" s="1"/>
  <c r="F8" i="95"/>
  <c r="F66" i="95"/>
  <c r="F69" i="95"/>
  <c r="F68" i="95"/>
  <c r="H134" i="95"/>
  <c r="F110" i="135"/>
  <c r="F108" i="135"/>
  <c r="F112" i="135"/>
  <c r="F111" i="135"/>
  <c r="F109" i="135"/>
  <c r="F18" i="135"/>
  <c r="F50" i="135"/>
  <c r="F42" i="135"/>
  <c r="F33" i="135"/>
  <c r="F24" i="135"/>
  <c r="F11" i="135"/>
  <c r="E134" i="135"/>
  <c r="F113" i="135"/>
  <c r="F67" i="116"/>
  <c r="F66" i="116"/>
  <c r="F113" i="116"/>
  <c r="F109" i="116"/>
  <c r="F111" i="116"/>
  <c r="F8" i="116"/>
  <c r="F68" i="116"/>
  <c r="F42" i="116"/>
  <c r="F64" i="116"/>
  <c r="F65" i="116"/>
  <c r="F61" i="116"/>
  <c r="F70" i="116"/>
  <c r="F133" i="116"/>
  <c r="I133" i="116"/>
  <c r="H133" i="116"/>
  <c r="F69" i="116"/>
  <c r="F65" i="134"/>
  <c r="F69" i="134"/>
  <c r="F64" i="134"/>
  <c r="F68" i="134"/>
  <c r="E109" i="134"/>
  <c r="E112" i="134"/>
  <c r="E108" i="134"/>
  <c r="E113" i="134"/>
  <c r="E128" i="134"/>
  <c r="E106" i="134"/>
  <c r="E110" i="134"/>
  <c r="E111" i="134"/>
  <c r="E111" i="133"/>
  <c r="F111" i="133" s="1"/>
  <c r="F56" i="133"/>
  <c r="F46" i="133"/>
  <c r="F37" i="133"/>
  <c r="F28" i="133"/>
  <c r="F14" i="133"/>
  <c r="E109" i="133"/>
  <c r="E110" i="133"/>
  <c r="I110" i="133" s="1"/>
  <c r="E108" i="133"/>
  <c r="E107" i="133"/>
  <c r="E128" i="133"/>
  <c r="E112" i="133"/>
  <c r="E106" i="133"/>
  <c r="I113" i="133"/>
  <c r="F113" i="133"/>
  <c r="F24" i="132"/>
  <c r="F11" i="132"/>
  <c r="F18" i="132"/>
  <c r="F50" i="132"/>
  <c r="F42" i="132"/>
  <c r="F33" i="132"/>
  <c r="F110" i="132"/>
  <c r="F108" i="132"/>
  <c r="F112" i="132"/>
  <c r="F8" i="86"/>
  <c r="F63" i="86"/>
  <c r="F19" i="86"/>
  <c r="F34" i="86"/>
  <c r="F64" i="86"/>
  <c r="F68" i="86"/>
  <c r="F67" i="86"/>
  <c r="F70" i="86"/>
  <c r="F66" i="86"/>
  <c r="H133" i="86"/>
  <c r="I133" i="86"/>
  <c r="F45" i="116"/>
  <c r="F27" i="113"/>
  <c r="F14" i="124"/>
  <c r="F11" i="96"/>
  <c r="F13" i="118"/>
  <c r="G28" i="94"/>
  <c r="G19" i="94"/>
  <c r="F4" i="135"/>
  <c r="F5" i="135" s="1"/>
  <c r="F4" i="116"/>
  <c r="F5" i="116" s="1"/>
  <c r="F4" i="133"/>
  <c r="F5" i="133" s="1"/>
  <c r="F4" i="134"/>
  <c r="F5" i="134" s="1"/>
  <c r="F4" i="132"/>
  <c r="F5" i="132" s="1"/>
  <c r="F4" i="86"/>
  <c r="F5" i="86" s="1"/>
  <c r="F63" i="116"/>
  <c r="F38" i="116"/>
  <c r="F61" i="138"/>
  <c r="F16" i="138"/>
  <c r="F21" i="116"/>
  <c r="F21" i="134"/>
  <c r="F29" i="116"/>
  <c r="F24" i="129"/>
  <c r="F25" i="129" s="1"/>
  <c r="F26" i="129"/>
  <c r="F8" i="120" s="1"/>
  <c r="F4" i="117"/>
  <c r="F5" i="117" s="1"/>
  <c r="F4" i="140"/>
  <c r="F5" i="140" s="1"/>
  <c r="F4" i="139"/>
  <c r="F5" i="139" s="1"/>
  <c r="F4" i="97"/>
  <c r="F5" i="97" s="1"/>
  <c r="F18" i="120"/>
  <c r="F61" i="113"/>
  <c r="F56" i="124"/>
  <c r="F46" i="124"/>
  <c r="F37" i="124"/>
  <c r="F28" i="124"/>
  <c r="F17" i="120"/>
  <c r="F57" i="119"/>
  <c r="F61" i="118"/>
  <c r="F55" i="113"/>
  <c r="F60" i="97"/>
  <c r="F48" i="97"/>
  <c r="F39" i="97"/>
  <c r="F30" i="97"/>
  <c r="F20" i="123"/>
  <c r="F54" i="123"/>
  <c r="F44" i="123"/>
  <c r="F35" i="123"/>
  <c r="F26" i="123"/>
  <c r="F13" i="123"/>
  <c r="F48" i="117"/>
  <c r="F33" i="97"/>
  <c r="F50" i="97"/>
  <c r="F35" i="98"/>
  <c r="F37" i="135"/>
  <c r="F47" i="119"/>
  <c r="F45" i="113"/>
  <c r="F18" i="98"/>
  <c r="F45" i="95"/>
  <c r="F10" i="95"/>
  <c r="F54" i="86"/>
  <c r="F44" i="86"/>
  <c r="F35" i="86"/>
  <c r="F16" i="98"/>
  <c r="F24" i="119"/>
  <c r="F25" i="138"/>
  <c r="F38" i="119"/>
  <c r="F36" i="113"/>
  <c r="F18" i="96"/>
  <c r="F50" i="96"/>
  <c r="F42" i="96"/>
  <c r="F33" i="96"/>
  <c r="F24" i="96"/>
  <c r="F48" i="99"/>
  <c r="F51" i="119"/>
  <c r="F29" i="119"/>
  <c r="F21" i="119"/>
  <c r="F45" i="118"/>
  <c r="F50" i="98"/>
  <c r="F42" i="98"/>
  <c r="F56" i="117"/>
  <c r="F60" i="91"/>
  <c r="F48" i="91"/>
  <c r="F39" i="91"/>
  <c r="F30" i="91"/>
  <c r="F12" i="86"/>
  <c r="F36" i="118"/>
  <c r="F33" i="98"/>
  <c r="F24" i="98"/>
  <c r="F46" i="117"/>
  <c r="F37" i="117"/>
  <c r="F28" i="117"/>
  <c r="F14" i="117"/>
  <c r="F22" i="91"/>
  <c r="F35" i="116"/>
  <c r="F13" i="116"/>
  <c r="F60" i="98"/>
  <c r="F34" i="118"/>
  <c r="F43" i="118"/>
  <c r="F45" i="119"/>
  <c r="F13" i="120"/>
  <c r="F27" i="118"/>
  <c r="F11" i="98"/>
  <c r="F9" i="91"/>
  <c r="F37" i="86"/>
  <c r="F24" i="86"/>
  <c r="F11" i="86"/>
  <c r="F13" i="124"/>
  <c r="F13" i="117"/>
  <c r="F11" i="97"/>
  <c r="F11" i="117"/>
  <c r="F9" i="133"/>
  <c r="F9" i="140"/>
  <c r="F9" i="118"/>
  <c r="F9" i="98"/>
  <c r="F27" i="119"/>
  <c r="F25" i="113"/>
  <c r="F56" i="97"/>
  <c r="F50" i="123"/>
  <c r="F24" i="123"/>
  <c r="F49" i="99"/>
  <c r="F10" i="99"/>
  <c r="F37" i="95"/>
  <c r="F42" i="95"/>
  <c r="F18" i="123"/>
  <c r="F33" i="123"/>
  <c r="F36" i="99"/>
  <c r="F11" i="95"/>
  <c r="F46" i="97"/>
  <c r="F17" i="99"/>
  <c r="F51" i="118"/>
  <c r="F19" i="113"/>
  <c r="F60" i="136"/>
  <c r="F44" i="117"/>
  <c r="F16" i="137"/>
  <c r="F61" i="119"/>
  <c r="F55" i="119"/>
  <c r="F17" i="113"/>
  <c r="F21" i="113"/>
  <c r="F54" i="98"/>
  <c r="F28" i="98"/>
  <c r="F18" i="97"/>
  <c r="F26" i="97"/>
  <c r="F56" i="123"/>
  <c r="F46" i="123"/>
  <c r="F11" i="124"/>
  <c r="F9" i="95"/>
  <c r="F20" i="116"/>
  <c r="F54" i="116"/>
  <c r="F9" i="86"/>
  <c r="F10" i="124"/>
  <c r="F12" i="91"/>
  <c r="F16" i="96"/>
  <c r="F29" i="123"/>
  <c r="F48" i="118"/>
  <c r="F61" i="134"/>
  <c r="F56" i="134"/>
  <c r="F30" i="135"/>
  <c r="F22" i="135"/>
  <c r="F9" i="135"/>
  <c r="F20" i="137"/>
  <c r="F54" i="137"/>
  <c r="F44" i="137"/>
  <c r="F35" i="137"/>
  <c r="F26" i="137"/>
  <c r="F39" i="98"/>
  <c r="F30" i="98"/>
  <c r="F51" i="113"/>
  <c r="F57" i="136"/>
  <c r="F43" i="120"/>
  <c r="F34" i="120"/>
  <c r="F10" i="119"/>
  <c r="F44" i="98"/>
  <c r="F42" i="97"/>
  <c r="F9" i="96"/>
  <c r="F14" i="91"/>
  <c r="F21" i="86"/>
  <c r="F42" i="117"/>
  <c r="F10" i="132"/>
  <c r="F55" i="134"/>
  <c r="F56" i="135"/>
  <c r="F46" i="135"/>
  <c r="F29" i="135"/>
  <c r="F19" i="137"/>
  <c r="F51" i="137"/>
  <c r="F43" i="137"/>
  <c r="F34" i="137"/>
  <c r="F25" i="137"/>
  <c r="F16" i="119"/>
  <c r="F48" i="98"/>
  <c r="F44" i="99"/>
  <c r="F11" i="118"/>
  <c r="F22" i="133"/>
  <c r="F9" i="136"/>
  <c r="F22" i="98"/>
  <c r="F14" i="97"/>
  <c r="F27" i="137"/>
  <c r="F30" i="140"/>
  <c r="F50" i="120"/>
  <c r="F42" i="120"/>
  <c r="F11" i="120"/>
  <c r="F36" i="119"/>
  <c r="F34" i="113"/>
  <c r="F24" i="97"/>
  <c r="F20" i="96"/>
  <c r="F54" i="96"/>
  <c r="F44" i="96"/>
  <c r="F35" i="96"/>
  <c r="F28" i="99"/>
  <c r="F11" i="99"/>
  <c r="F20" i="91"/>
  <c r="F54" i="91"/>
  <c r="F44" i="91"/>
  <c r="F35" i="91"/>
  <c r="F26" i="91"/>
  <c r="F43" i="95"/>
  <c r="F20" i="133"/>
  <c r="F54" i="133"/>
  <c r="F44" i="133"/>
  <c r="F35" i="133"/>
  <c r="F26" i="133"/>
  <c r="F12" i="138"/>
  <c r="F28" i="120"/>
  <c r="F19" i="119"/>
  <c r="F25" i="119"/>
  <c r="F17" i="118"/>
  <c r="F14" i="118"/>
  <c r="F14" i="98"/>
  <c r="F37" i="97"/>
  <c r="F39" i="117"/>
  <c r="F24" i="117"/>
  <c r="F37" i="123"/>
  <c r="F28" i="123"/>
  <c r="F23" i="91"/>
  <c r="F11" i="91"/>
  <c r="F54" i="134"/>
  <c r="F46" i="134"/>
  <c r="F37" i="134"/>
  <c r="F20" i="138"/>
  <c r="F54" i="138"/>
  <c r="F44" i="138"/>
  <c r="F35" i="138"/>
  <c r="F26" i="138"/>
  <c r="F29" i="139"/>
  <c r="F12" i="119"/>
  <c r="F33" i="118"/>
  <c r="F38" i="113"/>
  <c r="F12" i="113"/>
  <c r="F61" i="98"/>
  <c r="F44" i="97"/>
  <c r="F30" i="117"/>
  <c r="F23" i="117"/>
  <c r="F14" i="123"/>
  <c r="F22" i="96"/>
  <c r="F10" i="91"/>
  <c r="F45" i="86"/>
  <c r="F36" i="86"/>
  <c r="F16" i="86"/>
  <c r="F18" i="134"/>
  <c r="F45" i="134"/>
  <c r="F28" i="134"/>
  <c r="F14" i="134"/>
  <c r="F60" i="135"/>
  <c r="F48" i="135"/>
  <c r="F39" i="135"/>
  <c r="F13" i="138"/>
  <c r="F35" i="120"/>
  <c r="F17" i="119"/>
  <c r="F50" i="119"/>
  <c r="F23" i="119"/>
  <c r="F25" i="118"/>
  <c r="F29" i="113"/>
  <c r="F26" i="98"/>
  <c r="F13" i="98"/>
  <c r="F28" i="97"/>
  <c r="F54" i="117"/>
  <c r="F22" i="117"/>
  <c r="F56" i="96"/>
  <c r="F46" i="96"/>
  <c r="F37" i="96"/>
  <c r="F28" i="96"/>
  <c r="F60" i="124"/>
  <c r="F48" i="124"/>
  <c r="F39" i="124"/>
  <c r="F30" i="124"/>
  <c r="F22" i="124"/>
  <c r="F12" i="124"/>
  <c r="F20" i="95"/>
  <c r="F22" i="95"/>
  <c r="F10" i="116"/>
  <c r="F57" i="135"/>
  <c r="F47" i="135"/>
  <c r="F38" i="135"/>
  <c r="F18" i="136"/>
  <c r="F50" i="136"/>
  <c r="F56" i="136"/>
  <c r="F47" i="120"/>
  <c r="F38" i="120"/>
  <c r="F21" i="120"/>
  <c r="F39" i="99"/>
  <c r="F49" i="133"/>
  <c r="F31" i="133"/>
  <c r="F56" i="140"/>
  <c r="F46" i="140"/>
  <c r="F38" i="140"/>
  <c r="F46" i="120"/>
  <c r="F37" i="120"/>
  <c r="F31" i="117"/>
  <c r="F57" i="123"/>
  <c r="F28" i="136"/>
  <c r="F21" i="136"/>
  <c r="F23" i="138"/>
  <c r="F29" i="140"/>
  <c r="F22" i="140"/>
  <c r="F60" i="99"/>
  <c r="F30" i="99"/>
  <c r="F40" i="133"/>
  <c r="F55" i="120"/>
  <c r="F45" i="120"/>
  <c r="F36" i="120"/>
  <c r="F27" i="120"/>
  <c r="F60" i="113"/>
  <c r="F30" i="113"/>
  <c r="F27" i="98"/>
  <c r="F19" i="97"/>
  <c r="F18" i="117"/>
  <c r="F61" i="96"/>
  <c r="F55" i="96"/>
  <c r="F45" i="96"/>
  <c r="F36" i="96"/>
  <c r="F27" i="96"/>
  <c r="F24" i="95"/>
  <c r="F57" i="116"/>
  <c r="F47" i="116"/>
  <c r="F43" i="86"/>
  <c r="F11" i="133"/>
  <c r="F11" i="138"/>
  <c r="F57" i="139"/>
  <c r="F47" i="139"/>
  <c r="F38" i="139"/>
  <c r="F37" i="140"/>
  <c r="F21" i="140"/>
  <c r="F20" i="120"/>
  <c r="F54" i="120"/>
  <c r="F44" i="120"/>
  <c r="F26" i="120"/>
  <c r="F18" i="119"/>
  <c r="F45" i="98"/>
  <c r="F25" i="97"/>
  <c r="F17" i="117"/>
  <c r="F18" i="124"/>
  <c r="F50" i="124"/>
  <c r="F42" i="124"/>
  <c r="F33" i="124"/>
  <c r="F24" i="124"/>
  <c r="F24" i="134"/>
  <c r="F12" i="134"/>
  <c r="F10" i="138"/>
  <c r="F56" i="139"/>
  <c r="F46" i="139"/>
  <c r="F37" i="139"/>
  <c r="F21" i="139"/>
  <c r="F17" i="133"/>
  <c r="F23" i="133"/>
  <c r="F19" i="120"/>
  <c r="F51" i="120"/>
  <c r="F25" i="120"/>
  <c r="F11" i="119"/>
  <c r="F48" i="113"/>
  <c r="F50" i="117"/>
  <c r="F38" i="123"/>
  <c r="F17" i="124"/>
  <c r="F49" i="124"/>
  <c r="F40" i="124"/>
  <c r="F31" i="124"/>
  <c r="F23" i="124"/>
  <c r="F18" i="86"/>
  <c r="F42" i="86"/>
  <c r="F20" i="134"/>
  <c r="F11" i="134"/>
  <c r="F13" i="135"/>
  <c r="F17" i="136"/>
  <c r="F49" i="136"/>
  <c r="F61" i="137"/>
  <c r="F55" i="137"/>
  <c r="F45" i="137"/>
  <c r="F36" i="137"/>
  <c r="F61" i="139"/>
  <c r="F55" i="139"/>
  <c r="F45" i="139"/>
  <c r="F36" i="139"/>
  <c r="F28" i="139"/>
  <c r="F14" i="139"/>
  <c r="F16" i="99"/>
  <c r="F57" i="132"/>
  <c r="F47" i="132"/>
  <c r="F38" i="132"/>
  <c r="F29" i="132"/>
  <c r="F21" i="132"/>
  <c r="F19" i="134"/>
  <c r="F27" i="139"/>
  <c r="F16" i="139"/>
  <c r="F34" i="97"/>
  <c r="F11" i="123"/>
  <c r="F57" i="99"/>
  <c r="F9" i="99"/>
  <c r="F40" i="95"/>
  <c r="F36" i="95"/>
  <c r="F23" i="95"/>
  <c r="F37" i="116"/>
  <c r="F11" i="116"/>
  <c r="F13" i="113"/>
  <c r="F35" i="113"/>
  <c r="F16" i="124"/>
  <c r="F10" i="96"/>
  <c r="F25" i="123"/>
  <c r="F36" i="117"/>
  <c r="F45" i="117"/>
  <c r="F61" i="117"/>
  <c r="F21" i="97"/>
  <c r="F47" i="97"/>
  <c r="F10" i="98"/>
  <c r="F31" i="98"/>
  <c r="F49" i="98"/>
  <c r="F17" i="98"/>
  <c r="F12" i="118"/>
  <c r="F26" i="118"/>
  <c r="F35" i="118"/>
  <c r="F44" i="118"/>
  <c r="F54" i="118"/>
  <c r="F9" i="132"/>
  <c r="F10" i="133"/>
  <c r="F44" i="134"/>
  <c r="F36" i="134"/>
  <c r="F61" i="135"/>
  <c r="F55" i="135"/>
  <c r="F45" i="135"/>
  <c r="F48" i="136"/>
  <c r="F40" i="136"/>
  <c r="F26" i="139"/>
  <c r="F14" i="140"/>
  <c r="F20" i="117"/>
  <c r="F22" i="123"/>
  <c r="F21" i="99"/>
  <c r="F50" i="134"/>
  <c r="F43" i="134"/>
  <c r="F35" i="134"/>
  <c r="F27" i="134"/>
  <c r="F20" i="135"/>
  <c r="F36" i="135"/>
  <c r="F21" i="135"/>
  <c r="F47" i="136"/>
  <c r="F39" i="136"/>
  <c r="F31" i="136"/>
  <c r="F12" i="137"/>
  <c r="F19" i="138"/>
  <c r="F51" i="138"/>
  <c r="F43" i="138"/>
  <c r="F34" i="138"/>
  <c r="F49" i="140"/>
  <c r="F35" i="117"/>
  <c r="F42" i="123"/>
  <c r="F21" i="123"/>
  <c r="F9" i="123"/>
  <c r="F60" i="96"/>
  <c r="F48" i="96"/>
  <c r="F39" i="96"/>
  <c r="F30" i="96"/>
  <c r="F42" i="99"/>
  <c r="F56" i="91"/>
  <c r="F46" i="91"/>
  <c r="F37" i="91"/>
  <c r="F20" i="124"/>
  <c r="F54" i="124"/>
  <c r="F44" i="124"/>
  <c r="F35" i="124"/>
  <c r="F26" i="124"/>
  <c r="F44" i="95"/>
  <c r="F35" i="95"/>
  <c r="F27" i="116"/>
  <c r="F23" i="116"/>
  <c r="F16" i="116"/>
  <c r="F17" i="132"/>
  <c r="F49" i="132"/>
  <c r="F40" i="132"/>
  <c r="F23" i="132"/>
  <c r="F19" i="133"/>
  <c r="F51" i="133"/>
  <c r="F43" i="133"/>
  <c r="F34" i="133"/>
  <c r="F25" i="133"/>
  <c r="F42" i="134"/>
  <c r="F34" i="134"/>
  <c r="F26" i="134"/>
  <c r="F16" i="134"/>
  <c r="F28" i="135"/>
  <c r="F14" i="135"/>
  <c r="F46" i="136"/>
  <c r="F38" i="136"/>
  <c r="F30" i="136"/>
  <c r="F23" i="136"/>
  <c r="F11" i="137"/>
  <c r="F18" i="138"/>
  <c r="F50" i="138"/>
  <c r="F42" i="138"/>
  <c r="F33" i="138"/>
  <c r="F60" i="140"/>
  <c r="F48" i="140"/>
  <c r="F40" i="140"/>
  <c r="F26" i="117"/>
  <c r="F10" i="117"/>
  <c r="F47" i="123"/>
  <c r="F55" i="99"/>
  <c r="F28" i="91"/>
  <c r="F9" i="116"/>
  <c r="F60" i="132"/>
  <c r="F48" i="132"/>
  <c r="F39" i="132"/>
  <c r="F30" i="132"/>
  <c r="F22" i="132"/>
  <c r="F18" i="133"/>
  <c r="F50" i="133"/>
  <c r="F42" i="133"/>
  <c r="F33" i="133"/>
  <c r="F24" i="133"/>
  <c r="F25" i="134"/>
  <c r="F13" i="134"/>
  <c r="F27" i="135"/>
  <c r="F16" i="135"/>
  <c r="F37" i="136"/>
  <c r="F29" i="136"/>
  <c r="F22" i="136"/>
  <c r="F17" i="138"/>
  <c r="F49" i="138"/>
  <c r="F40" i="138"/>
  <c r="F31" i="138"/>
  <c r="F24" i="138"/>
  <c r="F57" i="140"/>
  <c r="F47" i="140"/>
  <c r="F39" i="140"/>
  <c r="F31" i="140"/>
  <c r="F31" i="99"/>
  <c r="F17" i="95"/>
  <c r="F55" i="95"/>
  <c r="F49" i="95"/>
  <c r="F33" i="95"/>
  <c r="F28" i="95"/>
  <c r="F51" i="86"/>
  <c r="F30" i="86"/>
  <c r="F22" i="86"/>
  <c r="F14" i="132"/>
  <c r="F9" i="138"/>
  <c r="F12" i="123"/>
  <c r="F33" i="116"/>
  <c r="F29" i="97"/>
  <c r="F13" i="99"/>
  <c r="F54" i="95"/>
  <c r="F31" i="95"/>
  <c r="F48" i="116"/>
  <c r="F44" i="116"/>
  <c r="F61" i="86"/>
  <c r="F50" i="86"/>
  <c r="F46" i="86"/>
  <c r="F38" i="86"/>
  <c r="F29" i="86"/>
  <c r="F14" i="120"/>
  <c r="F18" i="99"/>
  <c r="F11" i="113"/>
  <c r="F24" i="113"/>
  <c r="F33" i="113"/>
  <c r="F42" i="113"/>
  <c r="F50" i="113"/>
  <c r="F18" i="113"/>
  <c r="F16" i="91"/>
  <c r="F27" i="91"/>
  <c r="F10" i="123"/>
  <c r="F12" i="117"/>
  <c r="F36" i="97"/>
  <c r="F45" i="97"/>
  <c r="F55" i="97"/>
  <c r="F61" i="97"/>
  <c r="F21" i="98"/>
  <c r="F29" i="98"/>
  <c r="F38" i="98"/>
  <c r="F57" i="98"/>
  <c r="F10" i="118"/>
  <c r="F13" i="119"/>
  <c r="F26" i="119"/>
  <c r="F35" i="119"/>
  <c r="F44" i="119"/>
  <c r="F54" i="119"/>
  <c r="F20" i="119"/>
  <c r="F17" i="96"/>
  <c r="F49" i="96"/>
  <c r="F40" i="96"/>
  <c r="F31" i="96"/>
  <c r="F61" i="99"/>
  <c r="F56" i="99"/>
  <c r="F50" i="99"/>
  <c r="F38" i="99"/>
  <c r="F34" i="99"/>
  <c r="F19" i="95"/>
  <c r="F51" i="95"/>
  <c r="F26" i="95"/>
  <c r="F39" i="116"/>
  <c r="F17" i="86"/>
  <c r="F33" i="86"/>
  <c r="F28" i="86"/>
  <c r="F14" i="86"/>
  <c r="F37" i="99"/>
  <c r="F33" i="99"/>
  <c r="F57" i="91"/>
  <c r="F47" i="91"/>
  <c r="F38" i="91"/>
  <c r="F61" i="95"/>
  <c r="F18" i="95"/>
  <c r="F50" i="95"/>
  <c r="F46" i="95"/>
  <c r="F13" i="95"/>
  <c r="F50" i="116"/>
  <c r="F34" i="116"/>
  <c r="F27" i="86"/>
  <c r="F23" i="86"/>
  <c r="F10" i="86"/>
  <c r="F54" i="99"/>
  <c r="F40" i="99"/>
  <c r="F61" i="124"/>
  <c r="F55" i="124"/>
  <c r="F45" i="124"/>
  <c r="F36" i="124"/>
  <c r="F27" i="124"/>
  <c r="F55" i="116"/>
  <c r="F47" i="98"/>
  <c r="F35" i="99"/>
  <c r="F27" i="99"/>
  <c r="F23" i="99"/>
  <c r="F61" i="91"/>
  <c r="F55" i="91"/>
  <c r="F45" i="91"/>
  <c r="F36" i="91"/>
  <c r="F56" i="95"/>
  <c r="F47" i="95"/>
  <c r="F39" i="95"/>
  <c r="F27" i="95"/>
  <c r="F21" i="95"/>
  <c r="F12" i="95"/>
  <c r="F56" i="116"/>
  <c r="F36" i="116"/>
  <c r="F28" i="116"/>
  <c r="F12" i="116"/>
  <c r="F26" i="86"/>
  <c r="F10" i="120"/>
  <c r="F19" i="117"/>
  <c r="F51" i="117"/>
  <c r="F43" i="117"/>
  <c r="F34" i="117"/>
  <c r="F25" i="117"/>
  <c r="F19" i="99"/>
  <c r="F46" i="99"/>
  <c r="F43" i="116"/>
  <c r="F31" i="116"/>
  <c r="F60" i="86"/>
  <c r="F49" i="86"/>
  <c r="F25" i="86"/>
  <c r="F54" i="135"/>
  <c r="F26" i="135"/>
  <c r="IR6" i="94"/>
  <c r="F14" i="136"/>
  <c r="F13" i="139"/>
  <c r="HT6" i="94"/>
  <c r="F26" i="99"/>
  <c r="F22" i="99"/>
  <c r="F38" i="95"/>
  <c r="F30" i="95"/>
  <c r="F14" i="95"/>
  <c r="F18" i="137"/>
  <c r="F50" i="137"/>
  <c r="F42" i="137"/>
  <c r="F33" i="137"/>
  <c r="F60" i="138"/>
  <c r="F48" i="138"/>
  <c r="F39" i="138"/>
  <c r="F30" i="138"/>
  <c r="F17" i="123"/>
  <c r="F49" i="123"/>
  <c r="F40" i="123"/>
  <c r="F31" i="123"/>
  <c r="F23" i="123"/>
  <c r="F21" i="96"/>
  <c r="F51" i="99"/>
  <c r="F45" i="99"/>
  <c r="F12" i="99"/>
  <c r="F19" i="124"/>
  <c r="F51" i="124"/>
  <c r="F43" i="124"/>
  <c r="F34" i="124"/>
  <c r="F25" i="124"/>
  <c r="F16" i="95"/>
  <c r="F60" i="116"/>
  <c r="F46" i="116"/>
  <c r="F30" i="116"/>
  <c r="F57" i="86"/>
  <c r="F48" i="86"/>
  <c r="F40" i="86"/>
  <c r="F13" i="86"/>
  <c r="F44" i="135"/>
  <c r="F24" i="137"/>
  <c r="F22" i="138"/>
  <c r="F20" i="139"/>
  <c r="F54" i="139"/>
  <c r="F44" i="139"/>
  <c r="F35" i="139"/>
  <c r="F28" i="140"/>
  <c r="HS26" i="94"/>
  <c r="F60" i="95"/>
  <c r="F49" i="116"/>
  <c r="F26" i="116"/>
  <c r="F56" i="132"/>
  <c r="F46" i="132"/>
  <c r="F37" i="132"/>
  <c r="F28" i="132"/>
  <c r="F60" i="133"/>
  <c r="F48" i="133"/>
  <c r="F39" i="133"/>
  <c r="F30" i="133"/>
  <c r="F16" i="120"/>
  <c r="F57" i="96"/>
  <c r="F47" i="96"/>
  <c r="F38" i="96"/>
  <c r="F29" i="96"/>
  <c r="F34" i="95"/>
  <c r="F29" i="95"/>
  <c r="F25" i="95"/>
  <c r="F25" i="116"/>
  <c r="F56" i="86"/>
  <c r="F47" i="86"/>
  <c r="F39" i="86"/>
  <c r="F31" i="86"/>
  <c r="F35" i="135"/>
  <c r="F20" i="99"/>
  <c r="F43" i="99"/>
  <c r="F24" i="99"/>
  <c r="F14" i="99"/>
  <c r="F57" i="95"/>
  <c r="F48" i="95"/>
  <c r="F51" i="116"/>
  <c r="F40" i="116"/>
  <c r="F20" i="86"/>
  <c r="F55" i="86"/>
  <c r="F33" i="134"/>
  <c r="F22" i="116"/>
  <c r="HS16" i="94"/>
  <c r="F24" i="116"/>
  <c r="E10" i="94"/>
  <c r="L11" i="88"/>
  <c r="J11" i="88"/>
  <c r="L25" i="88"/>
  <c r="C14" i="88" s="1"/>
  <c r="G14" i="145" l="1"/>
  <c r="E14" i="145"/>
  <c r="E20" i="145"/>
  <c r="G20" i="145"/>
  <c r="I133" i="137"/>
  <c r="ID23" i="94"/>
  <c r="ID5" i="94"/>
  <c r="ID14" i="94"/>
  <c r="F111" i="96"/>
  <c r="H134" i="99"/>
  <c r="I134" i="99"/>
  <c r="F134" i="99"/>
  <c r="H111" i="99"/>
  <c r="I111" i="99"/>
  <c r="I133" i="140"/>
  <c r="F133" i="140"/>
  <c r="H133" i="140"/>
  <c r="I133" i="132"/>
  <c r="F108" i="140"/>
  <c r="I134" i="116"/>
  <c r="I108" i="140"/>
  <c r="H108" i="140"/>
  <c r="H133" i="132"/>
  <c r="H112" i="117"/>
  <c r="F112" i="117"/>
  <c r="I134" i="95"/>
  <c r="H109" i="99"/>
  <c r="I109" i="99"/>
  <c r="H134" i="124"/>
  <c r="I134" i="124"/>
  <c r="I133" i="118"/>
  <c r="H133" i="118"/>
  <c r="F133" i="118"/>
  <c r="H109" i="118"/>
  <c r="H108" i="118"/>
  <c r="I109" i="118"/>
  <c r="H113" i="120"/>
  <c r="I113" i="120"/>
  <c r="I110" i="120"/>
  <c r="I108" i="99"/>
  <c r="H110" i="120"/>
  <c r="E133" i="99"/>
  <c r="H111" i="132"/>
  <c r="H134" i="86"/>
  <c r="F113" i="132"/>
  <c r="I133" i="95"/>
  <c r="F133" i="120"/>
  <c r="I110" i="118"/>
  <c r="I133" i="120"/>
  <c r="H110" i="118"/>
  <c r="H113" i="132"/>
  <c r="H109" i="120"/>
  <c r="I109" i="120"/>
  <c r="H133" i="124"/>
  <c r="H134" i="123"/>
  <c r="I111" i="132"/>
  <c r="H111" i="118"/>
  <c r="E134" i="132"/>
  <c r="H133" i="117"/>
  <c r="I112" i="99"/>
  <c r="H108" i="99"/>
  <c r="F134" i="118"/>
  <c r="I134" i="118"/>
  <c r="H134" i="118"/>
  <c r="I134" i="86"/>
  <c r="F109" i="132"/>
  <c r="F133" i="135"/>
  <c r="I134" i="139"/>
  <c r="F134" i="140"/>
  <c r="I110" i="99"/>
  <c r="I133" i="135"/>
  <c r="I133" i="117"/>
  <c r="I112" i="91"/>
  <c r="F112" i="91"/>
  <c r="F133" i="95"/>
  <c r="I134" i="117"/>
  <c r="H110" i="132"/>
  <c r="I111" i="118"/>
  <c r="H134" i="140"/>
  <c r="H112" i="99"/>
  <c r="I133" i="124"/>
  <c r="I134" i="136"/>
  <c r="E133" i="134"/>
  <c r="F133" i="134" s="1"/>
  <c r="I108" i="134"/>
  <c r="H108" i="134"/>
  <c r="E133" i="97"/>
  <c r="F133" i="97" s="1"/>
  <c r="H108" i="97"/>
  <c r="I108" i="97"/>
  <c r="I112" i="139"/>
  <c r="H112" i="139"/>
  <c r="E133" i="98"/>
  <c r="H133" i="98" s="1"/>
  <c r="I108" i="98"/>
  <c r="H108" i="98"/>
  <c r="F112" i="98"/>
  <c r="I112" i="98"/>
  <c r="H112" i="98"/>
  <c r="I110" i="113"/>
  <c r="H110" i="113"/>
  <c r="E133" i="96"/>
  <c r="H133" i="96" s="1"/>
  <c r="I108" i="96"/>
  <c r="H108" i="96"/>
  <c r="E134" i="119"/>
  <c r="H134" i="119" s="1"/>
  <c r="I111" i="119"/>
  <c r="H111" i="119"/>
  <c r="E133" i="133"/>
  <c r="I133" i="133" s="1"/>
  <c r="I108" i="133"/>
  <c r="H108" i="133"/>
  <c r="E134" i="133"/>
  <c r="I111" i="133"/>
  <c r="H111" i="133"/>
  <c r="F109" i="134"/>
  <c r="I109" i="134"/>
  <c r="H109" i="134"/>
  <c r="I113" i="96"/>
  <c r="H113" i="96"/>
  <c r="E133" i="139"/>
  <c r="H133" i="139" s="1"/>
  <c r="I108" i="139"/>
  <c r="H108" i="139"/>
  <c r="E134" i="98"/>
  <c r="F134" i="98" s="1"/>
  <c r="I111" i="98"/>
  <c r="H111" i="98"/>
  <c r="I113" i="113"/>
  <c r="H113" i="113"/>
  <c r="F110" i="139"/>
  <c r="H110" i="139"/>
  <c r="I110" i="139"/>
  <c r="F110" i="98"/>
  <c r="H110" i="98"/>
  <c r="I110" i="98"/>
  <c r="F109" i="96"/>
  <c r="I109" i="96"/>
  <c r="H109" i="96"/>
  <c r="F109" i="133"/>
  <c r="I109" i="133"/>
  <c r="H109" i="133"/>
  <c r="H110" i="134"/>
  <c r="I110" i="134"/>
  <c r="F134" i="116"/>
  <c r="I110" i="91"/>
  <c r="H110" i="91"/>
  <c r="F134" i="136"/>
  <c r="H133" i="137"/>
  <c r="I113" i="139"/>
  <c r="H113" i="139"/>
  <c r="F109" i="98"/>
  <c r="I109" i="98"/>
  <c r="H109" i="98"/>
  <c r="F109" i="113"/>
  <c r="I109" i="113"/>
  <c r="H109" i="113"/>
  <c r="F109" i="119"/>
  <c r="I109" i="119"/>
  <c r="H109" i="119"/>
  <c r="F112" i="134"/>
  <c r="I112" i="134"/>
  <c r="H112" i="134"/>
  <c r="E133" i="91"/>
  <c r="I133" i="91" s="1"/>
  <c r="H108" i="91"/>
  <c r="I108" i="91"/>
  <c r="F112" i="97"/>
  <c r="H112" i="97"/>
  <c r="I112" i="97"/>
  <c r="I113" i="97"/>
  <c r="H113" i="97"/>
  <c r="I109" i="139"/>
  <c r="H109" i="139"/>
  <c r="E133" i="113"/>
  <c r="F133" i="113" s="1"/>
  <c r="H108" i="113"/>
  <c r="I108" i="113"/>
  <c r="F111" i="119"/>
  <c r="I113" i="91"/>
  <c r="H113" i="91"/>
  <c r="E134" i="97"/>
  <c r="I134" i="97" s="1"/>
  <c r="I111" i="97"/>
  <c r="H111" i="97"/>
  <c r="E134" i="134"/>
  <c r="I111" i="134"/>
  <c r="H111" i="134"/>
  <c r="H110" i="133"/>
  <c r="F112" i="133"/>
  <c r="I112" i="133"/>
  <c r="H112" i="133"/>
  <c r="F113" i="134"/>
  <c r="I113" i="134"/>
  <c r="H113" i="134"/>
  <c r="F109" i="91"/>
  <c r="I109" i="91"/>
  <c r="H109" i="91"/>
  <c r="F110" i="97"/>
  <c r="I110" i="97"/>
  <c r="H110" i="97"/>
  <c r="I109" i="97"/>
  <c r="H109" i="97"/>
  <c r="E134" i="113"/>
  <c r="H134" i="113" s="1"/>
  <c r="I111" i="113"/>
  <c r="H111" i="113"/>
  <c r="F112" i="113"/>
  <c r="H112" i="113"/>
  <c r="I112" i="113"/>
  <c r="I110" i="119"/>
  <c r="H110" i="119"/>
  <c r="HR25" i="94"/>
  <c r="P31" i="94" s="1"/>
  <c r="O54" i="128"/>
  <c r="Q54" i="128" s="1"/>
  <c r="L54" i="128" s="1"/>
  <c r="P30" i="94"/>
  <c r="F7" i="145" s="1"/>
  <c r="O51" i="128"/>
  <c r="Q51" i="128" s="1"/>
  <c r="T51" i="128" s="1"/>
  <c r="O53" i="128"/>
  <c r="Q53" i="128" s="1"/>
  <c r="O49" i="128"/>
  <c r="P17" i="94"/>
  <c r="O57" i="128"/>
  <c r="Q57" i="128" s="1"/>
  <c r="O55" i="128"/>
  <c r="Q55" i="128" s="1"/>
  <c r="O50" i="128"/>
  <c r="Q50" i="128" s="1"/>
  <c r="O58" i="128"/>
  <c r="Q58" i="128" s="1"/>
  <c r="O32" i="128"/>
  <c r="Q32" i="128" s="1"/>
  <c r="L32" i="128" s="1"/>
  <c r="O59" i="128"/>
  <c r="O14" i="128"/>
  <c r="Q14" i="128" s="1"/>
  <c r="O13" i="128"/>
  <c r="Q13" i="128" s="1"/>
  <c r="O12" i="128"/>
  <c r="Q12" i="128" s="1"/>
  <c r="V53" i="128" s="1"/>
  <c r="O18" i="128"/>
  <c r="Q18" i="128" s="1"/>
  <c r="O16" i="128"/>
  <c r="Q16" i="128" s="1"/>
  <c r="O11" i="128"/>
  <c r="Q11" i="128" s="1"/>
  <c r="V52" i="128" s="1"/>
  <c r="O15" i="128"/>
  <c r="O10" i="128"/>
  <c r="Q10" i="128" s="1"/>
  <c r="V51" i="128" s="1"/>
  <c r="O9" i="128"/>
  <c r="Q9" i="128" s="1"/>
  <c r="V50" i="128" s="1"/>
  <c r="O7" i="128"/>
  <c r="O17" i="128"/>
  <c r="Q17" i="128" s="1"/>
  <c r="O8" i="128"/>
  <c r="O48" i="128"/>
  <c r="O52" i="128"/>
  <c r="Q52" i="128" s="1"/>
  <c r="O56" i="128"/>
  <c r="Q56" i="128" s="1"/>
  <c r="O38" i="128"/>
  <c r="Q38" i="128" s="1"/>
  <c r="L38" i="128" s="1"/>
  <c r="O29" i="128"/>
  <c r="O39" i="128"/>
  <c r="O31" i="128"/>
  <c r="Q31" i="128" s="1"/>
  <c r="L31" i="128" s="1"/>
  <c r="O33" i="128"/>
  <c r="Q33" i="128" s="1"/>
  <c r="O35" i="128"/>
  <c r="Q35" i="128" s="1"/>
  <c r="O36" i="128"/>
  <c r="Q36" i="128" s="1"/>
  <c r="O28" i="128"/>
  <c r="O37" i="128"/>
  <c r="Q37" i="128" s="1"/>
  <c r="O30" i="128"/>
  <c r="Q30" i="128" s="1"/>
  <c r="O34" i="128"/>
  <c r="Q34" i="128" s="1"/>
  <c r="V28" i="128"/>
  <c r="M28" i="128" s="1"/>
  <c r="V29" i="128"/>
  <c r="M29" i="128" s="1"/>
  <c r="F108" i="133"/>
  <c r="Z7" i="130"/>
  <c r="L49" i="128"/>
  <c r="I134" i="119"/>
  <c r="F110" i="119"/>
  <c r="I134" i="113"/>
  <c r="F108" i="113"/>
  <c r="F113" i="113"/>
  <c r="F111" i="113"/>
  <c r="F110" i="113"/>
  <c r="H133" i="113"/>
  <c r="F133" i="98"/>
  <c r="F108" i="98"/>
  <c r="F111" i="98"/>
  <c r="I134" i="98"/>
  <c r="H134" i="98"/>
  <c r="F111" i="97"/>
  <c r="F113" i="97"/>
  <c r="I133" i="97"/>
  <c r="F108" i="97"/>
  <c r="F108" i="96"/>
  <c r="F113" i="96"/>
  <c r="H133" i="136"/>
  <c r="I133" i="136"/>
  <c r="F133" i="136"/>
  <c r="F110" i="91"/>
  <c r="F108" i="91"/>
  <c r="F113" i="91"/>
  <c r="H134" i="135"/>
  <c r="I134" i="135"/>
  <c r="F134" i="135"/>
  <c r="F108" i="134"/>
  <c r="F110" i="134"/>
  <c r="F111" i="134"/>
  <c r="I134" i="134"/>
  <c r="H134" i="134"/>
  <c r="F134" i="134"/>
  <c r="I133" i="134"/>
  <c r="F110" i="133"/>
  <c r="J14" i="86"/>
  <c r="P4" i="94"/>
  <c r="L29" i="128"/>
  <c r="L28" i="128"/>
  <c r="P18" i="94"/>
  <c r="P5" i="94"/>
  <c r="IQ26" i="94"/>
  <c r="R7" i="128"/>
  <c r="L48" i="128"/>
  <c r="F133" i="133" l="1"/>
  <c r="H133" i="97"/>
  <c r="F134" i="119"/>
  <c r="I133" i="113"/>
  <c r="F134" i="113"/>
  <c r="H133" i="133"/>
  <c r="Q31" i="94"/>
  <c r="F8" i="145"/>
  <c r="Q5" i="94"/>
  <c r="C8" i="145"/>
  <c r="Q18" i="94"/>
  <c r="D8" i="145"/>
  <c r="Q4" i="94"/>
  <c r="C7" i="145"/>
  <c r="Q17" i="94"/>
  <c r="D7" i="145"/>
  <c r="F133" i="99"/>
  <c r="H133" i="99"/>
  <c r="I133" i="99"/>
  <c r="F133" i="96"/>
  <c r="H133" i="134"/>
  <c r="I133" i="96"/>
  <c r="I133" i="98"/>
  <c r="I134" i="132"/>
  <c r="F134" i="132"/>
  <c r="H134" i="132"/>
  <c r="F134" i="97"/>
  <c r="H133" i="91"/>
  <c r="V54" i="128"/>
  <c r="M54" i="128" s="1"/>
  <c r="U51" i="128"/>
  <c r="I124" i="118" s="1"/>
  <c r="F133" i="139"/>
  <c r="I133" i="139"/>
  <c r="F133" i="91"/>
  <c r="H134" i="97"/>
  <c r="L57" i="128"/>
  <c r="T57" i="128" s="1"/>
  <c r="I101" i="138" s="1"/>
  <c r="L53" i="128"/>
  <c r="M53" i="128"/>
  <c r="T56" i="128"/>
  <c r="I98" i="119" s="1"/>
  <c r="L51" i="128"/>
  <c r="M51" i="128"/>
  <c r="U52" i="128"/>
  <c r="I125" i="132" s="1"/>
  <c r="M52" i="128"/>
  <c r="L58" i="128"/>
  <c r="I134" i="133"/>
  <c r="H134" i="133"/>
  <c r="F134" i="133"/>
  <c r="T50" i="128"/>
  <c r="I80" i="99" s="1"/>
  <c r="M50" i="128"/>
  <c r="Q30" i="94"/>
  <c r="T53" i="128"/>
  <c r="I89" i="133" s="1"/>
  <c r="U53" i="128"/>
  <c r="I126" i="137" s="1"/>
  <c r="V57" i="128"/>
  <c r="L50" i="128"/>
  <c r="U50" i="128"/>
  <c r="I123" i="132" s="1"/>
  <c r="U56" i="128"/>
  <c r="I129" i="124" s="1"/>
  <c r="Q46" i="128"/>
  <c r="T32" i="128"/>
  <c r="H86" i="119" s="1"/>
  <c r="U32" i="128"/>
  <c r="H125" i="119" s="1"/>
  <c r="V32" i="128"/>
  <c r="M32" i="128" s="1"/>
  <c r="U31" i="128"/>
  <c r="H124" i="138" s="1"/>
  <c r="V55" i="128"/>
  <c r="R18" i="128"/>
  <c r="D102" i="86" s="1"/>
  <c r="F102" i="86" s="1"/>
  <c r="V58" i="128"/>
  <c r="M58" i="128" s="1"/>
  <c r="T52" i="128"/>
  <c r="I86" i="98" s="1"/>
  <c r="L52" i="128"/>
  <c r="M16" i="128"/>
  <c r="V56" i="128"/>
  <c r="M56" i="128" s="1"/>
  <c r="L56" i="128"/>
  <c r="I83" i="120"/>
  <c r="I83" i="119"/>
  <c r="I83" i="118"/>
  <c r="I83" i="113"/>
  <c r="I83" i="136"/>
  <c r="I83" i="99"/>
  <c r="I83" i="139"/>
  <c r="I83" i="97"/>
  <c r="I83" i="117"/>
  <c r="I83" i="123"/>
  <c r="I83" i="137"/>
  <c r="I83" i="138"/>
  <c r="I83" i="96"/>
  <c r="I83" i="140"/>
  <c r="I83" i="98"/>
  <c r="I83" i="91"/>
  <c r="I83" i="124"/>
  <c r="I83" i="95"/>
  <c r="I83" i="135"/>
  <c r="I83" i="116"/>
  <c r="I83" i="134"/>
  <c r="I83" i="132"/>
  <c r="I83" i="86"/>
  <c r="I83" i="133"/>
  <c r="L33" i="128"/>
  <c r="T33" i="128"/>
  <c r="H89" i="133" s="1"/>
  <c r="V31" i="128"/>
  <c r="M31" i="128" s="1"/>
  <c r="T31" i="128"/>
  <c r="H83" i="133" s="1"/>
  <c r="V36" i="128"/>
  <c r="M36" i="128" s="1"/>
  <c r="U33" i="128"/>
  <c r="H126" i="119" s="1"/>
  <c r="T30" i="128"/>
  <c r="L34" i="128"/>
  <c r="L37" i="128"/>
  <c r="T37" i="128" s="1"/>
  <c r="L36" i="128"/>
  <c r="U30" i="128"/>
  <c r="H123" i="138" s="1"/>
  <c r="L30" i="128"/>
  <c r="V33" i="128"/>
  <c r="M33" i="128" s="1"/>
  <c r="V30" i="128"/>
  <c r="M30" i="128" s="1"/>
  <c r="T36" i="128"/>
  <c r="Q26" i="128"/>
  <c r="L26" i="128" s="1"/>
  <c r="U36" i="128"/>
  <c r="H129" i="113" s="1"/>
  <c r="R14" i="128"/>
  <c r="V35" i="128"/>
  <c r="M35" i="128" s="1"/>
  <c r="U35" i="128" s="1"/>
  <c r="M17" i="128"/>
  <c r="U17" i="128" s="1"/>
  <c r="D130" i="116" s="1"/>
  <c r="F130" i="116" s="1"/>
  <c r="V37" i="128"/>
  <c r="M37" i="128" s="1"/>
  <c r="U37" i="128" s="1"/>
  <c r="R13" i="128"/>
  <c r="D90" i="113" s="1"/>
  <c r="F90" i="113" s="1"/>
  <c r="V34" i="128"/>
  <c r="M34" i="128" s="1"/>
  <c r="V38" i="128"/>
  <c r="M38" i="128" s="1"/>
  <c r="L17" i="128"/>
  <c r="T17" i="128" s="1"/>
  <c r="D101" i="113" s="1"/>
  <c r="F101" i="113" s="1"/>
  <c r="R17" i="128"/>
  <c r="D99" i="96" s="1"/>
  <c r="F99" i="96" s="1"/>
  <c r="S17" i="128"/>
  <c r="D100" i="91" s="1"/>
  <c r="F100" i="91" s="1"/>
  <c r="W17" i="128"/>
  <c r="T11" i="128"/>
  <c r="D86" i="95" s="1"/>
  <c r="F86" i="95" s="1"/>
  <c r="M11" i="128"/>
  <c r="T12" i="128"/>
  <c r="D89" i="91" s="1"/>
  <c r="F89" i="91" s="1"/>
  <c r="M12" i="128"/>
  <c r="U10" i="128"/>
  <c r="D124" i="98" s="1"/>
  <c r="F124" i="98" s="1"/>
  <c r="M10" i="128"/>
  <c r="T9" i="128"/>
  <c r="D80" i="120" s="1"/>
  <c r="F80" i="120" s="1"/>
  <c r="M9" i="128"/>
  <c r="M18" i="128"/>
  <c r="W18" i="128"/>
  <c r="S8" i="128"/>
  <c r="D76" i="117" s="1"/>
  <c r="F76" i="117" s="1"/>
  <c r="M8" i="128"/>
  <c r="W8" i="128"/>
  <c r="W7" i="128"/>
  <c r="M7" i="128"/>
  <c r="L13" i="128"/>
  <c r="W13" i="128"/>
  <c r="M13" i="128"/>
  <c r="M14" i="128"/>
  <c r="U14" i="128" s="1"/>
  <c r="W14" i="128"/>
  <c r="L11" i="128"/>
  <c r="U11" i="128"/>
  <c r="D125" i="124" s="1"/>
  <c r="F125" i="124" s="1"/>
  <c r="R11" i="128"/>
  <c r="D84" i="118" s="1"/>
  <c r="F84" i="118" s="1"/>
  <c r="S11" i="128"/>
  <c r="D85" i="96" s="1"/>
  <c r="F85" i="96" s="1"/>
  <c r="P6" i="94"/>
  <c r="S18" i="128"/>
  <c r="D103" i="86" s="1"/>
  <c r="F103" i="86" s="1"/>
  <c r="R10" i="128"/>
  <c r="D81" i="116" s="1"/>
  <c r="F81" i="116" s="1"/>
  <c r="L8" i="128"/>
  <c r="S10" i="128"/>
  <c r="D82" i="116" s="1"/>
  <c r="F82" i="116" s="1"/>
  <c r="R8" i="128"/>
  <c r="D75" i="124" s="1"/>
  <c r="F75" i="124" s="1"/>
  <c r="L18" i="128"/>
  <c r="Q39" i="128"/>
  <c r="L35" i="128"/>
  <c r="T35" i="128" s="1"/>
  <c r="L7" i="128"/>
  <c r="S7" i="128"/>
  <c r="D73" i="123" s="1"/>
  <c r="F73" i="123" s="1"/>
  <c r="D72" i="123"/>
  <c r="F72" i="123" s="1"/>
  <c r="R12" i="128"/>
  <c r="D87" i="98" s="1"/>
  <c r="F87" i="98" s="1"/>
  <c r="IQ16" i="94"/>
  <c r="L9" i="128"/>
  <c r="U12" i="128"/>
  <c r="D126" i="95" s="1"/>
  <c r="F126" i="95" s="1"/>
  <c r="U9" i="128"/>
  <c r="D123" i="86" s="1"/>
  <c r="F123" i="86" s="1"/>
  <c r="S12" i="128"/>
  <c r="D88" i="91" s="1"/>
  <c r="F88" i="91" s="1"/>
  <c r="S9" i="128"/>
  <c r="D79" i="118" s="1"/>
  <c r="F79" i="118" s="1"/>
  <c r="S13" i="128"/>
  <c r="D91" i="118" s="1"/>
  <c r="F91" i="118" s="1"/>
  <c r="L10" i="128"/>
  <c r="L12" i="128"/>
  <c r="T10" i="128"/>
  <c r="D83" i="117" s="1"/>
  <c r="F83" i="117" s="1"/>
  <c r="L16" i="128"/>
  <c r="T16" i="128"/>
  <c r="D98" i="132" s="1"/>
  <c r="F98" i="132" s="1"/>
  <c r="U16" i="128"/>
  <c r="D129" i="116" s="1"/>
  <c r="F129" i="116" s="1"/>
  <c r="R9" i="128"/>
  <c r="D78" i="86" s="1"/>
  <c r="F78" i="86" s="1"/>
  <c r="S16" i="128"/>
  <c r="D97" i="123" s="1"/>
  <c r="F97" i="123" s="1"/>
  <c r="R16" i="128"/>
  <c r="D96" i="118" s="1"/>
  <c r="F96" i="118" s="1"/>
  <c r="Q5" i="128"/>
  <c r="S14" i="128"/>
  <c r="Q15" i="128"/>
  <c r="L14" i="128"/>
  <c r="T14" i="128" s="1"/>
  <c r="Q59" i="128"/>
  <c r="L55" i="128"/>
  <c r="T55" i="128" s="1"/>
  <c r="E7" i="145" l="1"/>
  <c r="I125" i="91"/>
  <c r="I125" i="98"/>
  <c r="Q6" i="94"/>
  <c r="C9" i="145"/>
  <c r="D76" i="136"/>
  <c r="F76" i="136" s="1"/>
  <c r="D76" i="137"/>
  <c r="F76" i="137" s="1"/>
  <c r="D76" i="132"/>
  <c r="F76" i="132" s="1"/>
  <c r="D76" i="113"/>
  <c r="F76" i="113" s="1"/>
  <c r="D76" i="120"/>
  <c r="F76" i="120" s="1"/>
  <c r="D76" i="96"/>
  <c r="F76" i="96" s="1"/>
  <c r="I124" i="98"/>
  <c r="I126" i="135"/>
  <c r="I124" i="113"/>
  <c r="I124" i="137"/>
  <c r="I124" i="99"/>
  <c r="I126" i="116"/>
  <c r="I124" i="136"/>
  <c r="I126" i="124"/>
  <c r="I126" i="120"/>
  <c r="I124" i="135"/>
  <c r="I124" i="97"/>
  <c r="I123" i="123"/>
  <c r="I101" i="99"/>
  <c r="I101" i="86"/>
  <c r="I125" i="123"/>
  <c r="I101" i="123"/>
  <c r="I125" i="133"/>
  <c r="I101" i="116"/>
  <c r="I101" i="136"/>
  <c r="I101" i="140"/>
  <c r="I101" i="134"/>
  <c r="I101" i="118"/>
  <c r="I101" i="124"/>
  <c r="I101" i="95"/>
  <c r="I101" i="119"/>
  <c r="I101" i="91"/>
  <c r="I101" i="137"/>
  <c r="I101" i="120"/>
  <c r="I89" i="96"/>
  <c r="I101" i="117"/>
  <c r="I101" i="135"/>
  <c r="I89" i="136"/>
  <c r="I101" i="97"/>
  <c r="I101" i="98"/>
  <c r="I101" i="133"/>
  <c r="I101" i="139"/>
  <c r="I101" i="96"/>
  <c r="I124" i="116"/>
  <c r="I98" i="116"/>
  <c r="I124" i="91"/>
  <c r="I126" i="123"/>
  <c r="I98" i="134"/>
  <c r="I124" i="134"/>
  <c r="I124" i="132"/>
  <c r="I124" i="120"/>
  <c r="I124" i="117"/>
  <c r="I126" i="97"/>
  <c r="I126" i="98"/>
  <c r="I89" i="86"/>
  <c r="I124" i="95"/>
  <c r="I126" i="139"/>
  <c r="I126" i="134"/>
  <c r="I126" i="91"/>
  <c r="I89" i="132"/>
  <c r="I124" i="123"/>
  <c r="I124" i="119"/>
  <c r="I124" i="124"/>
  <c r="I126" i="118"/>
  <c r="I101" i="113"/>
  <c r="I101" i="132"/>
  <c r="I89" i="98"/>
  <c r="I98" i="96"/>
  <c r="I124" i="96"/>
  <c r="I124" i="139"/>
  <c r="I124" i="138"/>
  <c r="I80" i="135"/>
  <c r="I124" i="133"/>
  <c r="I124" i="140"/>
  <c r="I80" i="118"/>
  <c r="I124" i="86"/>
  <c r="I98" i="86"/>
  <c r="I89" i="139"/>
  <c r="I80" i="95"/>
  <c r="I80" i="119"/>
  <c r="I80" i="96"/>
  <c r="I80" i="138"/>
  <c r="I80" i="137"/>
  <c r="I98" i="99"/>
  <c r="I89" i="140"/>
  <c r="I80" i="123"/>
  <c r="I98" i="120"/>
  <c r="I80" i="134"/>
  <c r="I80" i="136"/>
  <c r="I80" i="116"/>
  <c r="I80" i="113"/>
  <c r="I98" i="98"/>
  <c r="I89" i="99"/>
  <c r="I89" i="134"/>
  <c r="I89" i="118"/>
  <c r="I89" i="135"/>
  <c r="I125" i="113"/>
  <c r="I125" i="124"/>
  <c r="I125" i="116"/>
  <c r="I125" i="139"/>
  <c r="I125" i="138"/>
  <c r="I125" i="96"/>
  <c r="I125" i="118"/>
  <c r="I125" i="136"/>
  <c r="I98" i="135"/>
  <c r="I125" i="120"/>
  <c r="I98" i="91"/>
  <c r="I125" i="119"/>
  <c r="I125" i="140"/>
  <c r="I125" i="137"/>
  <c r="I123" i="113"/>
  <c r="I80" i="124"/>
  <c r="I80" i="117"/>
  <c r="I80" i="120"/>
  <c r="I125" i="135"/>
  <c r="I125" i="134"/>
  <c r="I80" i="133"/>
  <c r="I80" i="91"/>
  <c r="I80" i="97"/>
  <c r="I125" i="95"/>
  <c r="I125" i="99"/>
  <c r="I125" i="86"/>
  <c r="I80" i="86"/>
  <c r="I80" i="98"/>
  <c r="I80" i="139"/>
  <c r="I123" i="124"/>
  <c r="I125" i="117"/>
  <c r="I125" i="97"/>
  <c r="I80" i="132"/>
  <c r="I80" i="140"/>
  <c r="I98" i="140"/>
  <c r="I98" i="139"/>
  <c r="I89" i="137"/>
  <c r="I126" i="119"/>
  <c r="I126" i="86"/>
  <c r="I98" i="95"/>
  <c r="I98" i="124"/>
  <c r="I98" i="138"/>
  <c r="I89" i="116"/>
  <c r="I89" i="138"/>
  <c r="I89" i="113"/>
  <c r="L46" i="128"/>
  <c r="T54" i="128" s="1"/>
  <c r="I92" i="134" s="1"/>
  <c r="I126" i="117"/>
  <c r="I126" i="99"/>
  <c r="I126" i="136"/>
  <c r="I98" i="133"/>
  <c r="I98" i="137"/>
  <c r="I98" i="123"/>
  <c r="I98" i="136"/>
  <c r="I89" i="95"/>
  <c r="I89" i="123"/>
  <c r="I89" i="119"/>
  <c r="M57" i="128"/>
  <c r="U57" i="128" s="1"/>
  <c r="I126" i="132"/>
  <c r="I126" i="138"/>
  <c r="I126" i="113"/>
  <c r="I98" i="117"/>
  <c r="I98" i="113"/>
  <c r="I98" i="118"/>
  <c r="I89" i="124"/>
  <c r="I89" i="117"/>
  <c r="I89" i="120"/>
  <c r="I126" i="95"/>
  <c r="I126" i="133"/>
  <c r="I126" i="96"/>
  <c r="I126" i="140"/>
  <c r="I98" i="97"/>
  <c r="I98" i="132"/>
  <c r="I89" i="91"/>
  <c r="I89" i="97"/>
  <c r="M55" i="128"/>
  <c r="U55" i="128" s="1"/>
  <c r="I123" i="86"/>
  <c r="I123" i="98"/>
  <c r="H124" i="97"/>
  <c r="H124" i="95"/>
  <c r="H124" i="140"/>
  <c r="I123" i="136"/>
  <c r="I123" i="96"/>
  <c r="I123" i="118"/>
  <c r="I123" i="116"/>
  <c r="I123" i="91"/>
  <c r="I123" i="140"/>
  <c r="I123" i="135"/>
  <c r="I123" i="134"/>
  <c r="I123" i="138"/>
  <c r="I123" i="99"/>
  <c r="I123" i="137"/>
  <c r="I123" i="119"/>
  <c r="I123" i="139"/>
  <c r="I123" i="120"/>
  <c r="I123" i="133"/>
  <c r="I123" i="97"/>
  <c r="I123" i="117"/>
  <c r="I129" i="116"/>
  <c r="I129" i="117"/>
  <c r="I129" i="120"/>
  <c r="I129" i="99"/>
  <c r="I129" i="91"/>
  <c r="I129" i="119"/>
  <c r="I129" i="136"/>
  <c r="I129" i="95"/>
  <c r="I129" i="134"/>
  <c r="I129" i="97"/>
  <c r="I129" i="135"/>
  <c r="I129" i="132"/>
  <c r="I129" i="133"/>
  <c r="I129" i="98"/>
  <c r="I129" i="139"/>
  <c r="I129" i="140"/>
  <c r="H86" i="133"/>
  <c r="I129" i="96"/>
  <c r="I129" i="118"/>
  <c r="I129" i="138"/>
  <c r="I129" i="123"/>
  <c r="I129" i="137"/>
  <c r="I129" i="113"/>
  <c r="H86" i="96"/>
  <c r="H86" i="137"/>
  <c r="I129" i="86"/>
  <c r="H86" i="117"/>
  <c r="H86" i="140"/>
  <c r="H86" i="99"/>
  <c r="H86" i="113"/>
  <c r="H129" i="134"/>
  <c r="D124" i="138"/>
  <c r="F124" i="138" s="1"/>
  <c r="H129" i="96"/>
  <c r="H125" i="135"/>
  <c r="H86" i="132"/>
  <c r="H86" i="139"/>
  <c r="H86" i="95"/>
  <c r="H125" i="98"/>
  <c r="H86" i="134"/>
  <c r="H86" i="136"/>
  <c r="H86" i="138"/>
  <c r="H86" i="124"/>
  <c r="H86" i="118"/>
  <c r="I123" i="95"/>
  <c r="D124" i="136"/>
  <c r="F124" i="136" s="1"/>
  <c r="H86" i="98"/>
  <c r="H86" i="120"/>
  <c r="H86" i="135"/>
  <c r="H86" i="86"/>
  <c r="H125" i="86"/>
  <c r="H125" i="118"/>
  <c r="H125" i="136"/>
  <c r="H125" i="133"/>
  <c r="H125" i="113"/>
  <c r="H125" i="120"/>
  <c r="H125" i="95"/>
  <c r="H124" i="99"/>
  <c r="H124" i="137"/>
  <c r="H124" i="116"/>
  <c r="H124" i="113"/>
  <c r="H124" i="135"/>
  <c r="H124" i="139"/>
  <c r="H124" i="123"/>
  <c r="H124" i="134"/>
  <c r="H124" i="86"/>
  <c r="H124" i="124"/>
  <c r="H124" i="120"/>
  <c r="H124" i="132"/>
  <c r="H124" i="118"/>
  <c r="H124" i="133"/>
  <c r="H124" i="91"/>
  <c r="H124" i="98"/>
  <c r="H124" i="119"/>
  <c r="H124" i="136"/>
  <c r="H124" i="96"/>
  <c r="H86" i="123"/>
  <c r="H125" i="137"/>
  <c r="H125" i="134"/>
  <c r="H125" i="123"/>
  <c r="H125" i="96"/>
  <c r="H125" i="91"/>
  <c r="H125" i="139"/>
  <c r="H125" i="140"/>
  <c r="H125" i="117"/>
  <c r="H124" i="117"/>
  <c r="H126" i="91"/>
  <c r="H126" i="136"/>
  <c r="H126" i="96"/>
  <c r="H126" i="97"/>
  <c r="H125" i="116"/>
  <c r="H125" i="97"/>
  <c r="H125" i="138"/>
  <c r="H123" i="140"/>
  <c r="H123" i="119"/>
  <c r="H125" i="99"/>
  <c r="H125" i="124"/>
  <c r="H125" i="132"/>
  <c r="I86" i="140"/>
  <c r="H86" i="116"/>
  <c r="H86" i="97"/>
  <c r="H86" i="91"/>
  <c r="H129" i="124"/>
  <c r="H129" i="120"/>
  <c r="I86" i="95"/>
  <c r="D124" i="117"/>
  <c r="F124" i="117" s="1"/>
  <c r="D101" i="139"/>
  <c r="F101" i="139" s="1"/>
  <c r="H126" i="140"/>
  <c r="D101" i="123"/>
  <c r="F101" i="123" s="1"/>
  <c r="D101" i="138"/>
  <c r="F101" i="138" s="1"/>
  <c r="H126" i="95"/>
  <c r="D99" i="97"/>
  <c r="F99" i="97" s="1"/>
  <c r="D99" i="119"/>
  <c r="F99" i="119" s="1"/>
  <c r="D130" i="95"/>
  <c r="F130" i="95" s="1"/>
  <c r="D124" i="118"/>
  <c r="F124" i="118" s="1"/>
  <c r="D100" i="139"/>
  <c r="F100" i="139" s="1"/>
  <c r="D99" i="136"/>
  <c r="F99" i="136" s="1"/>
  <c r="D99" i="118"/>
  <c r="F99" i="118" s="1"/>
  <c r="D101" i="119"/>
  <c r="F101" i="119" s="1"/>
  <c r="S37" i="128"/>
  <c r="H100" i="97" s="1"/>
  <c r="D99" i="99"/>
  <c r="F99" i="99" s="1"/>
  <c r="D99" i="138"/>
  <c r="F99" i="138" s="1"/>
  <c r="D124" i="123"/>
  <c r="F124" i="123" s="1"/>
  <c r="D99" i="91"/>
  <c r="F99" i="91" s="1"/>
  <c r="D124" i="86"/>
  <c r="F124" i="86" s="1"/>
  <c r="D130" i="136"/>
  <c r="F130" i="136" s="1"/>
  <c r="D100" i="117"/>
  <c r="F100" i="117" s="1"/>
  <c r="D99" i="133"/>
  <c r="F99" i="133" s="1"/>
  <c r="D99" i="113"/>
  <c r="F99" i="113" s="1"/>
  <c r="D101" i="120"/>
  <c r="F101" i="120" s="1"/>
  <c r="D130" i="138"/>
  <c r="F130" i="138" s="1"/>
  <c r="D101" i="97"/>
  <c r="F101" i="97" s="1"/>
  <c r="D101" i="98"/>
  <c r="F101" i="98" s="1"/>
  <c r="D130" i="86"/>
  <c r="F130" i="86" s="1"/>
  <c r="D99" i="139"/>
  <c r="F99" i="139" s="1"/>
  <c r="D100" i="116"/>
  <c r="F100" i="116" s="1"/>
  <c r="D130" i="135"/>
  <c r="F130" i="135" s="1"/>
  <c r="D99" i="120"/>
  <c r="F99" i="120" s="1"/>
  <c r="D101" i="134"/>
  <c r="F101" i="134" s="1"/>
  <c r="D124" i="134"/>
  <c r="F124" i="134" s="1"/>
  <c r="D130" i="120"/>
  <c r="F130" i="120" s="1"/>
  <c r="D99" i="116"/>
  <c r="F99" i="116" s="1"/>
  <c r="D101" i="140"/>
  <c r="F101" i="140" s="1"/>
  <c r="D101" i="91"/>
  <c r="F101" i="91" s="1"/>
  <c r="D130" i="98"/>
  <c r="F130" i="98" s="1"/>
  <c r="D100" i="134"/>
  <c r="F100" i="134" s="1"/>
  <c r="D99" i="137"/>
  <c r="F99" i="137" s="1"/>
  <c r="D99" i="117"/>
  <c r="F99" i="117" s="1"/>
  <c r="D99" i="124"/>
  <c r="F99" i="124" s="1"/>
  <c r="D130" i="140"/>
  <c r="F130" i="140" s="1"/>
  <c r="D130" i="119"/>
  <c r="F130" i="119" s="1"/>
  <c r="D100" i="135"/>
  <c r="F100" i="135" s="1"/>
  <c r="D99" i="135"/>
  <c r="F99" i="135" s="1"/>
  <c r="D99" i="86"/>
  <c r="F99" i="86" s="1"/>
  <c r="D99" i="98"/>
  <c r="F99" i="98" s="1"/>
  <c r="D101" i="133"/>
  <c r="F101" i="133" s="1"/>
  <c r="D101" i="95"/>
  <c r="F101" i="95" s="1"/>
  <c r="D130" i="139"/>
  <c r="F130" i="139" s="1"/>
  <c r="D130" i="118"/>
  <c r="F130" i="118" s="1"/>
  <c r="D100" i="120"/>
  <c r="F100" i="120" s="1"/>
  <c r="R37" i="128"/>
  <c r="H99" i="139" s="1"/>
  <c r="D99" i="134"/>
  <c r="F99" i="134" s="1"/>
  <c r="D99" i="123"/>
  <c r="F99" i="123" s="1"/>
  <c r="D99" i="95"/>
  <c r="F99" i="95" s="1"/>
  <c r="D101" i="118"/>
  <c r="F101" i="118" s="1"/>
  <c r="D101" i="86"/>
  <c r="F101" i="86" s="1"/>
  <c r="D130" i="132"/>
  <c r="F130" i="132" s="1"/>
  <c r="D130" i="97"/>
  <c r="F130" i="97" s="1"/>
  <c r="D100" i="113"/>
  <c r="F100" i="113" s="1"/>
  <c r="D99" i="140"/>
  <c r="F99" i="140" s="1"/>
  <c r="D99" i="132"/>
  <c r="F99" i="132" s="1"/>
  <c r="D101" i="136"/>
  <c r="F101" i="136" s="1"/>
  <c r="D101" i="96"/>
  <c r="F101" i="96" s="1"/>
  <c r="D101" i="116"/>
  <c r="F101" i="116" s="1"/>
  <c r="I86" i="132"/>
  <c r="I86" i="120"/>
  <c r="H129" i="138"/>
  <c r="I86" i="137"/>
  <c r="I86" i="96"/>
  <c r="I86" i="123"/>
  <c r="I86" i="86"/>
  <c r="D130" i="133"/>
  <c r="F130" i="133" s="1"/>
  <c r="D130" i="91"/>
  <c r="F130" i="91" s="1"/>
  <c r="D130" i="99"/>
  <c r="F130" i="99" s="1"/>
  <c r="D100" i="136"/>
  <c r="F100" i="136" s="1"/>
  <c r="D100" i="96"/>
  <c r="F100" i="96" s="1"/>
  <c r="H129" i="99"/>
  <c r="I86" i="117"/>
  <c r="I86" i="134"/>
  <c r="D130" i="137"/>
  <c r="F130" i="137" s="1"/>
  <c r="D130" i="113"/>
  <c r="F130" i="113" s="1"/>
  <c r="D130" i="124"/>
  <c r="F130" i="124" s="1"/>
  <c r="D100" i="119"/>
  <c r="F100" i="119" s="1"/>
  <c r="H129" i="86"/>
  <c r="I86" i="99"/>
  <c r="I86" i="138"/>
  <c r="D130" i="134"/>
  <c r="F130" i="134" s="1"/>
  <c r="D130" i="123"/>
  <c r="F130" i="123" s="1"/>
  <c r="D130" i="96"/>
  <c r="F130" i="96" s="1"/>
  <c r="D100" i="132"/>
  <c r="F100" i="132" s="1"/>
  <c r="H129" i="118"/>
  <c r="I86" i="136"/>
  <c r="D130" i="117"/>
  <c r="F130" i="117" s="1"/>
  <c r="D100" i="124"/>
  <c r="F100" i="124" s="1"/>
  <c r="H129" i="117"/>
  <c r="I86" i="113"/>
  <c r="I86" i="124"/>
  <c r="I86" i="118"/>
  <c r="I86" i="91"/>
  <c r="I86" i="119"/>
  <c r="H130" i="136"/>
  <c r="H130" i="140"/>
  <c r="H130" i="96"/>
  <c r="H130" i="98"/>
  <c r="H130" i="99"/>
  <c r="H130" i="95"/>
  <c r="H130" i="118"/>
  <c r="H130" i="138"/>
  <c r="H130" i="120"/>
  <c r="H130" i="86"/>
  <c r="H130" i="123"/>
  <c r="H130" i="124"/>
  <c r="H130" i="135"/>
  <c r="H130" i="137"/>
  <c r="H130" i="133"/>
  <c r="H130" i="116"/>
  <c r="H130" i="97"/>
  <c r="H130" i="91"/>
  <c r="H130" i="113"/>
  <c r="H130" i="134"/>
  <c r="H130" i="117"/>
  <c r="H130" i="132"/>
  <c r="H130" i="119"/>
  <c r="H130" i="139"/>
  <c r="V59" i="128"/>
  <c r="M59" i="128" s="1"/>
  <c r="I86" i="133"/>
  <c r="I86" i="97"/>
  <c r="I86" i="135"/>
  <c r="V26" i="128"/>
  <c r="M26" i="128" s="1"/>
  <c r="V46" i="128"/>
  <c r="I86" i="116"/>
  <c r="I86" i="139"/>
  <c r="H129" i="95"/>
  <c r="H129" i="91"/>
  <c r="H129" i="133"/>
  <c r="H129" i="136"/>
  <c r="H129" i="119"/>
  <c r="H129" i="140"/>
  <c r="H129" i="135"/>
  <c r="H129" i="97"/>
  <c r="H129" i="123"/>
  <c r="H126" i="113"/>
  <c r="H126" i="116"/>
  <c r="H126" i="135"/>
  <c r="H126" i="139"/>
  <c r="H126" i="132"/>
  <c r="H126" i="134"/>
  <c r="H126" i="98"/>
  <c r="H126" i="137"/>
  <c r="H126" i="99"/>
  <c r="D124" i="140"/>
  <c r="F124" i="140" s="1"/>
  <c r="D124" i="99"/>
  <c r="F124" i="99" s="1"/>
  <c r="D124" i="139"/>
  <c r="F124" i="139" s="1"/>
  <c r="D124" i="124"/>
  <c r="F124" i="124" s="1"/>
  <c r="H126" i="120"/>
  <c r="H126" i="123"/>
  <c r="H126" i="86"/>
  <c r="H126" i="118"/>
  <c r="H126" i="124"/>
  <c r="H126" i="133"/>
  <c r="H126" i="117"/>
  <c r="H126" i="138"/>
  <c r="H123" i="116"/>
  <c r="H123" i="137"/>
  <c r="H123" i="99"/>
  <c r="H123" i="136"/>
  <c r="H123" i="96"/>
  <c r="H123" i="120"/>
  <c r="H123" i="124"/>
  <c r="H123" i="134"/>
  <c r="I95" i="120"/>
  <c r="I95" i="119"/>
  <c r="I95" i="118"/>
  <c r="I95" i="113"/>
  <c r="I95" i="136"/>
  <c r="I95" i="99"/>
  <c r="I95" i="139"/>
  <c r="I95" i="97"/>
  <c r="I95" i="117"/>
  <c r="I95" i="123"/>
  <c r="I95" i="137"/>
  <c r="I95" i="138"/>
  <c r="I95" i="96"/>
  <c r="I95" i="140"/>
  <c r="I95" i="98"/>
  <c r="I95" i="91"/>
  <c r="I95" i="124"/>
  <c r="I95" i="95"/>
  <c r="I95" i="135"/>
  <c r="I95" i="116"/>
  <c r="I95" i="134"/>
  <c r="I95" i="132"/>
  <c r="I95" i="86"/>
  <c r="H123" i="95"/>
  <c r="H98" i="119"/>
  <c r="H98" i="113"/>
  <c r="H98" i="97"/>
  <c r="H98" i="123"/>
  <c r="H98" i="138"/>
  <c r="H98" i="95"/>
  <c r="H98" i="99"/>
  <c r="H98" i="140"/>
  <c r="H98" i="91"/>
  <c r="H98" i="116"/>
  <c r="H98" i="132"/>
  <c r="H98" i="120"/>
  <c r="H98" i="118"/>
  <c r="H98" i="139"/>
  <c r="H98" i="117"/>
  <c r="H98" i="137"/>
  <c r="H98" i="96"/>
  <c r="H98" i="86"/>
  <c r="H98" i="136"/>
  <c r="H98" i="98"/>
  <c r="H98" i="124"/>
  <c r="H98" i="135"/>
  <c r="H98" i="134"/>
  <c r="H80" i="118"/>
  <c r="H80" i="117"/>
  <c r="H80" i="137"/>
  <c r="H80" i="96"/>
  <c r="H80" i="124"/>
  <c r="H80" i="120"/>
  <c r="H80" i="136"/>
  <c r="H80" i="139"/>
  <c r="H80" i="98"/>
  <c r="H80" i="135"/>
  <c r="H80" i="134"/>
  <c r="H80" i="86"/>
  <c r="H80" i="132"/>
  <c r="H80" i="113"/>
  <c r="H80" i="97"/>
  <c r="H80" i="123"/>
  <c r="H80" i="138"/>
  <c r="H80" i="140"/>
  <c r="H80" i="91"/>
  <c r="H80" i="95"/>
  <c r="H80" i="119"/>
  <c r="H80" i="99"/>
  <c r="H80" i="116"/>
  <c r="H95" i="96"/>
  <c r="H95" i="98"/>
  <c r="H95" i="124"/>
  <c r="H95" i="135"/>
  <c r="H95" i="134"/>
  <c r="H95" i="120"/>
  <c r="H95" i="118"/>
  <c r="H95" i="136"/>
  <c r="H95" i="139"/>
  <c r="H95" i="117"/>
  <c r="H95" i="137"/>
  <c r="H95" i="86"/>
  <c r="H95" i="97"/>
  <c r="H95" i="138"/>
  <c r="H95" i="140"/>
  <c r="H95" i="91"/>
  <c r="H95" i="95"/>
  <c r="H95" i="116"/>
  <c r="H95" i="132"/>
  <c r="H95" i="119"/>
  <c r="H95" i="113"/>
  <c r="H95" i="99"/>
  <c r="H95" i="123"/>
  <c r="H80" i="133"/>
  <c r="H98" i="133"/>
  <c r="H83" i="137"/>
  <c r="H83" i="96"/>
  <c r="H83" i="98"/>
  <c r="H83" i="135"/>
  <c r="H83" i="86"/>
  <c r="H83" i="120"/>
  <c r="H83" i="118"/>
  <c r="H83" i="136"/>
  <c r="H83" i="139"/>
  <c r="H83" i="117"/>
  <c r="H83" i="124"/>
  <c r="H83" i="134"/>
  <c r="H83" i="123"/>
  <c r="H83" i="138"/>
  <c r="H83" i="140"/>
  <c r="H83" i="91"/>
  <c r="H83" i="95"/>
  <c r="H83" i="116"/>
  <c r="H83" i="132"/>
  <c r="H83" i="119"/>
  <c r="H83" i="113"/>
  <c r="H83" i="99"/>
  <c r="H83" i="97"/>
  <c r="H101" i="113"/>
  <c r="H101" i="140"/>
  <c r="H101" i="91"/>
  <c r="H101" i="95"/>
  <c r="H101" i="116"/>
  <c r="H101" i="119"/>
  <c r="H101" i="99"/>
  <c r="H101" i="97"/>
  <c r="H101" i="123"/>
  <c r="H101" i="138"/>
  <c r="H101" i="132"/>
  <c r="H101" i="118"/>
  <c r="H101" i="117"/>
  <c r="H101" i="137"/>
  <c r="H101" i="96"/>
  <c r="H101" i="98"/>
  <c r="H101" i="124"/>
  <c r="H101" i="135"/>
  <c r="H101" i="134"/>
  <c r="H101" i="86"/>
  <c r="H101" i="120"/>
  <c r="H101" i="136"/>
  <c r="H101" i="139"/>
  <c r="H89" i="97"/>
  <c r="H89" i="140"/>
  <c r="H89" i="116"/>
  <c r="H89" i="132"/>
  <c r="H89" i="119"/>
  <c r="H89" i="113"/>
  <c r="H89" i="99"/>
  <c r="H89" i="123"/>
  <c r="H89" i="138"/>
  <c r="H89" i="91"/>
  <c r="H89" i="95"/>
  <c r="H89" i="118"/>
  <c r="H89" i="137"/>
  <c r="H89" i="96"/>
  <c r="H89" i="98"/>
  <c r="H89" i="124"/>
  <c r="H89" i="135"/>
  <c r="H89" i="134"/>
  <c r="H89" i="86"/>
  <c r="H89" i="120"/>
  <c r="H89" i="136"/>
  <c r="H89" i="139"/>
  <c r="H89" i="117"/>
  <c r="H123" i="97"/>
  <c r="H123" i="135"/>
  <c r="H123" i="132"/>
  <c r="H123" i="123"/>
  <c r="H123" i="86"/>
  <c r="H129" i="132"/>
  <c r="H129" i="116"/>
  <c r="H129" i="137"/>
  <c r="H123" i="91"/>
  <c r="H123" i="139"/>
  <c r="H123" i="117"/>
  <c r="H123" i="98"/>
  <c r="H101" i="133"/>
  <c r="H129" i="98"/>
  <c r="H129" i="139"/>
  <c r="H123" i="133"/>
  <c r="H123" i="113"/>
  <c r="H123" i="118"/>
  <c r="T34" i="128"/>
  <c r="H92" i="133" s="1"/>
  <c r="T28" i="128"/>
  <c r="D124" i="132"/>
  <c r="F124" i="132" s="1"/>
  <c r="D124" i="91"/>
  <c r="F124" i="91" s="1"/>
  <c r="R15" i="128"/>
  <c r="D105" i="136" s="1"/>
  <c r="F105" i="136" s="1"/>
  <c r="V39" i="128"/>
  <c r="M39" i="128" s="1"/>
  <c r="D101" i="124"/>
  <c r="F101" i="124" s="1"/>
  <c r="D124" i="97"/>
  <c r="F124" i="97" s="1"/>
  <c r="D86" i="99"/>
  <c r="F86" i="99" s="1"/>
  <c r="D100" i="123"/>
  <c r="F100" i="123" s="1"/>
  <c r="D100" i="99"/>
  <c r="F100" i="99" s="1"/>
  <c r="D86" i="139"/>
  <c r="F86" i="139" s="1"/>
  <c r="D86" i="133"/>
  <c r="F86" i="133" s="1"/>
  <c r="D96" i="116"/>
  <c r="F96" i="116" s="1"/>
  <c r="D89" i="98"/>
  <c r="F89" i="98" s="1"/>
  <c r="D86" i="96"/>
  <c r="F86" i="96" s="1"/>
  <c r="D86" i="120"/>
  <c r="F86" i="120" s="1"/>
  <c r="D100" i="137"/>
  <c r="F100" i="137" s="1"/>
  <c r="D100" i="98"/>
  <c r="F100" i="98" s="1"/>
  <c r="D100" i="86"/>
  <c r="F100" i="86" s="1"/>
  <c r="D86" i="113"/>
  <c r="F86" i="113" s="1"/>
  <c r="D100" i="138"/>
  <c r="F100" i="138" s="1"/>
  <c r="D100" i="95"/>
  <c r="F100" i="95" s="1"/>
  <c r="D100" i="118"/>
  <c r="F100" i="118" s="1"/>
  <c r="D86" i="118"/>
  <c r="F86" i="118" s="1"/>
  <c r="D89" i="119"/>
  <c r="F89" i="119" s="1"/>
  <c r="D100" i="140"/>
  <c r="F100" i="140" s="1"/>
  <c r="D100" i="133"/>
  <c r="F100" i="133" s="1"/>
  <c r="D100" i="97"/>
  <c r="F100" i="97" s="1"/>
  <c r="D86" i="91"/>
  <c r="F86" i="91" s="1"/>
  <c r="D89" i="138"/>
  <c r="F89" i="138" s="1"/>
  <c r="D89" i="134"/>
  <c r="F89" i="134" s="1"/>
  <c r="D85" i="120"/>
  <c r="F85" i="120" s="1"/>
  <c r="D86" i="140"/>
  <c r="F86" i="140" s="1"/>
  <c r="D86" i="123"/>
  <c r="F86" i="123" s="1"/>
  <c r="D85" i="116"/>
  <c r="F85" i="116" s="1"/>
  <c r="D86" i="98"/>
  <c r="F86" i="98" s="1"/>
  <c r="D86" i="132"/>
  <c r="F86" i="132" s="1"/>
  <c r="D81" i="138"/>
  <c r="F81" i="138" s="1"/>
  <c r="D86" i="138"/>
  <c r="F86" i="138" s="1"/>
  <c r="D86" i="116"/>
  <c r="F86" i="116" s="1"/>
  <c r="D124" i="135"/>
  <c r="F124" i="135" s="1"/>
  <c r="D124" i="96"/>
  <c r="F124" i="96" s="1"/>
  <c r="D89" i="95"/>
  <c r="F89" i="95" s="1"/>
  <c r="D76" i="99"/>
  <c r="F76" i="99" s="1"/>
  <c r="D86" i="134"/>
  <c r="F86" i="134" s="1"/>
  <c r="D86" i="119"/>
  <c r="F86" i="119" s="1"/>
  <c r="D101" i="137"/>
  <c r="F101" i="137" s="1"/>
  <c r="D101" i="117"/>
  <c r="F101" i="117" s="1"/>
  <c r="D101" i="99"/>
  <c r="F101" i="99" s="1"/>
  <c r="D80" i="113"/>
  <c r="F80" i="113" s="1"/>
  <c r="D124" i="120"/>
  <c r="F124" i="120" s="1"/>
  <c r="D124" i="116"/>
  <c r="F124" i="116" s="1"/>
  <c r="D76" i="135"/>
  <c r="F76" i="135" s="1"/>
  <c r="D76" i="86"/>
  <c r="F76" i="86" s="1"/>
  <c r="D86" i="136"/>
  <c r="F86" i="136" s="1"/>
  <c r="D86" i="97"/>
  <c r="F86" i="97" s="1"/>
  <c r="D101" i="135"/>
  <c r="F101" i="135" s="1"/>
  <c r="D101" i="132"/>
  <c r="F101" i="132" s="1"/>
  <c r="D80" i="139"/>
  <c r="F80" i="139" s="1"/>
  <c r="D124" i="133"/>
  <c r="F124" i="133" s="1"/>
  <c r="D124" i="113"/>
  <c r="F124" i="113" s="1"/>
  <c r="D124" i="95"/>
  <c r="F124" i="95" s="1"/>
  <c r="D89" i="116"/>
  <c r="F89" i="116" s="1"/>
  <c r="D76" i="98"/>
  <c r="F76" i="98" s="1"/>
  <c r="D80" i="119"/>
  <c r="F80" i="119" s="1"/>
  <c r="D124" i="137"/>
  <c r="F124" i="137" s="1"/>
  <c r="D124" i="119"/>
  <c r="F124" i="119" s="1"/>
  <c r="D76" i="134"/>
  <c r="F76" i="134" s="1"/>
  <c r="D76" i="123"/>
  <c r="F76" i="123" s="1"/>
  <c r="D89" i="139"/>
  <c r="F89" i="139" s="1"/>
  <c r="D89" i="117"/>
  <c r="F89" i="117" s="1"/>
  <c r="D89" i="123"/>
  <c r="F89" i="123" s="1"/>
  <c r="D89" i="137"/>
  <c r="F89" i="137" s="1"/>
  <c r="D89" i="97"/>
  <c r="F89" i="97" s="1"/>
  <c r="D89" i="99"/>
  <c r="F89" i="99" s="1"/>
  <c r="D89" i="135"/>
  <c r="F89" i="135" s="1"/>
  <c r="D89" i="132"/>
  <c r="F89" i="132" s="1"/>
  <c r="D89" i="113"/>
  <c r="F89" i="113" s="1"/>
  <c r="D89" i="133"/>
  <c r="F89" i="133" s="1"/>
  <c r="D89" i="96"/>
  <c r="F89" i="96" s="1"/>
  <c r="D89" i="86"/>
  <c r="F89" i="86" s="1"/>
  <c r="D89" i="136"/>
  <c r="F89" i="136" s="1"/>
  <c r="D89" i="118"/>
  <c r="F89" i="118" s="1"/>
  <c r="D89" i="120"/>
  <c r="F89" i="120" s="1"/>
  <c r="D89" i="140"/>
  <c r="F89" i="140" s="1"/>
  <c r="D89" i="124"/>
  <c r="F89" i="124" s="1"/>
  <c r="D80" i="138"/>
  <c r="F80" i="138" s="1"/>
  <c r="D80" i="123"/>
  <c r="F80" i="123" s="1"/>
  <c r="D80" i="118"/>
  <c r="F80" i="118" s="1"/>
  <c r="D80" i="133"/>
  <c r="F80" i="133" s="1"/>
  <c r="D80" i="116"/>
  <c r="F80" i="116" s="1"/>
  <c r="D80" i="86"/>
  <c r="F80" i="86" s="1"/>
  <c r="D80" i="117"/>
  <c r="F80" i="117" s="1"/>
  <c r="D80" i="96"/>
  <c r="F80" i="96" s="1"/>
  <c r="D80" i="99"/>
  <c r="F80" i="99" s="1"/>
  <c r="D80" i="134"/>
  <c r="F80" i="134" s="1"/>
  <c r="D80" i="95"/>
  <c r="F80" i="95" s="1"/>
  <c r="D80" i="124"/>
  <c r="F80" i="124" s="1"/>
  <c r="D80" i="136"/>
  <c r="F80" i="136" s="1"/>
  <c r="D80" i="132"/>
  <c r="F80" i="132" s="1"/>
  <c r="D80" i="97"/>
  <c r="F80" i="97" s="1"/>
  <c r="D80" i="137"/>
  <c r="F80" i="137" s="1"/>
  <c r="D80" i="98"/>
  <c r="F80" i="98" s="1"/>
  <c r="D80" i="91"/>
  <c r="F80" i="91" s="1"/>
  <c r="D80" i="140"/>
  <c r="F80" i="140" s="1"/>
  <c r="D80" i="135"/>
  <c r="F80" i="135" s="1"/>
  <c r="D85" i="86"/>
  <c r="F85" i="86" s="1"/>
  <c r="D85" i="138"/>
  <c r="F85" i="138" s="1"/>
  <c r="D85" i="91"/>
  <c r="F85" i="91" s="1"/>
  <c r="D85" i="98"/>
  <c r="F85" i="98" s="1"/>
  <c r="D85" i="134"/>
  <c r="F85" i="134" s="1"/>
  <c r="D85" i="135"/>
  <c r="F85" i="135" s="1"/>
  <c r="D85" i="95"/>
  <c r="F85" i="95" s="1"/>
  <c r="D85" i="99"/>
  <c r="F85" i="99" s="1"/>
  <c r="D85" i="97"/>
  <c r="F85" i="97" s="1"/>
  <c r="D85" i="140"/>
  <c r="F85" i="140" s="1"/>
  <c r="D85" i="119"/>
  <c r="F85" i="119" s="1"/>
  <c r="D85" i="117"/>
  <c r="F85" i="117" s="1"/>
  <c r="S32" i="128"/>
  <c r="D85" i="132"/>
  <c r="F85" i="132" s="1"/>
  <c r="D85" i="137"/>
  <c r="F85" i="137" s="1"/>
  <c r="D85" i="118"/>
  <c r="F85" i="118" s="1"/>
  <c r="D81" i="95"/>
  <c r="F81" i="95" s="1"/>
  <c r="D86" i="137"/>
  <c r="F86" i="137" s="1"/>
  <c r="D86" i="124"/>
  <c r="F86" i="124" s="1"/>
  <c r="D86" i="86"/>
  <c r="F86" i="86" s="1"/>
  <c r="D81" i="123"/>
  <c r="F81" i="123" s="1"/>
  <c r="D86" i="135"/>
  <c r="F86" i="135" s="1"/>
  <c r="D86" i="117"/>
  <c r="F86" i="117" s="1"/>
  <c r="D123" i="97"/>
  <c r="F123" i="97" s="1"/>
  <c r="D123" i="95"/>
  <c r="F123" i="95" s="1"/>
  <c r="D76" i="138"/>
  <c r="F76" i="138" s="1"/>
  <c r="D76" i="95"/>
  <c r="F76" i="95" s="1"/>
  <c r="D76" i="118"/>
  <c r="F76" i="118" s="1"/>
  <c r="D81" i="96"/>
  <c r="F81" i="96" s="1"/>
  <c r="S29" i="128"/>
  <c r="D76" i="133"/>
  <c r="F76" i="133" s="1"/>
  <c r="D76" i="97"/>
  <c r="F76" i="97" s="1"/>
  <c r="D76" i="91"/>
  <c r="F76" i="91" s="1"/>
  <c r="D76" i="140"/>
  <c r="F76" i="140" s="1"/>
  <c r="D76" i="119"/>
  <c r="F76" i="119" s="1"/>
  <c r="D76" i="116"/>
  <c r="F76" i="116" s="1"/>
  <c r="D76" i="139"/>
  <c r="F76" i="139" s="1"/>
  <c r="D76" i="124"/>
  <c r="F76" i="124" s="1"/>
  <c r="D96" i="133"/>
  <c r="F96" i="133" s="1"/>
  <c r="D96" i="132"/>
  <c r="F96" i="132" s="1"/>
  <c r="D96" i="119"/>
  <c r="F96" i="119" s="1"/>
  <c r="D96" i="123"/>
  <c r="F96" i="123" s="1"/>
  <c r="R29" i="128"/>
  <c r="D75" i="97"/>
  <c r="F75" i="97" s="1"/>
  <c r="D75" i="140"/>
  <c r="F75" i="140" s="1"/>
  <c r="D75" i="139"/>
  <c r="F75" i="139" s="1"/>
  <c r="D75" i="123"/>
  <c r="F75" i="123" s="1"/>
  <c r="D75" i="99"/>
  <c r="F75" i="99" s="1"/>
  <c r="D75" i="136"/>
  <c r="F75" i="136" s="1"/>
  <c r="D75" i="118"/>
  <c r="F75" i="118" s="1"/>
  <c r="D75" i="134"/>
  <c r="F75" i="134" s="1"/>
  <c r="D75" i="91"/>
  <c r="F75" i="91" s="1"/>
  <c r="D75" i="132"/>
  <c r="F75" i="132" s="1"/>
  <c r="D75" i="98"/>
  <c r="F75" i="98" s="1"/>
  <c r="D75" i="120"/>
  <c r="F75" i="120" s="1"/>
  <c r="D75" i="95"/>
  <c r="F75" i="95" s="1"/>
  <c r="D75" i="116"/>
  <c r="F75" i="116" s="1"/>
  <c r="M5" i="128"/>
  <c r="U13" i="128" s="1"/>
  <c r="D127" i="98" s="1"/>
  <c r="F127" i="98" s="1"/>
  <c r="W5" i="128"/>
  <c r="W15" i="128"/>
  <c r="M15" i="128"/>
  <c r="D85" i="136"/>
  <c r="F85" i="136" s="1"/>
  <c r="D85" i="113"/>
  <c r="F85" i="113" s="1"/>
  <c r="D85" i="123"/>
  <c r="F85" i="123" s="1"/>
  <c r="D85" i="139"/>
  <c r="F85" i="139" s="1"/>
  <c r="D85" i="133"/>
  <c r="F85" i="133" s="1"/>
  <c r="D85" i="124"/>
  <c r="F85" i="124" s="1"/>
  <c r="D126" i="139"/>
  <c r="F126" i="139" s="1"/>
  <c r="D126" i="86"/>
  <c r="F126" i="86" s="1"/>
  <c r="D123" i="134"/>
  <c r="F123" i="134" s="1"/>
  <c r="D123" i="139"/>
  <c r="F123" i="139" s="1"/>
  <c r="D123" i="136"/>
  <c r="F123" i="136" s="1"/>
  <c r="D125" i="98"/>
  <c r="F125" i="98" s="1"/>
  <c r="D123" i="119"/>
  <c r="F123" i="119" s="1"/>
  <c r="P19" i="94"/>
  <c r="D9" i="145" s="1"/>
  <c r="P32" i="94"/>
  <c r="F9" i="145" s="1"/>
  <c r="D126" i="99"/>
  <c r="F126" i="99" s="1"/>
  <c r="D123" i="118"/>
  <c r="F123" i="118" s="1"/>
  <c r="D123" i="140"/>
  <c r="F123" i="140" s="1"/>
  <c r="D123" i="116"/>
  <c r="F123" i="116" s="1"/>
  <c r="D96" i="138"/>
  <c r="F96" i="138" s="1"/>
  <c r="D123" i="138"/>
  <c r="F123" i="138" s="1"/>
  <c r="D81" i="137"/>
  <c r="F81" i="137" s="1"/>
  <c r="D81" i="134"/>
  <c r="F81" i="134" s="1"/>
  <c r="D91" i="119"/>
  <c r="F91" i="119" s="1"/>
  <c r="D126" i="124"/>
  <c r="F126" i="124" s="1"/>
  <c r="D123" i="99"/>
  <c r="F123" i="99" s="1"/>
  <c r="D81" i="136"/>
  <c r="F81" i="136" s="1"/>
  <c r="D81" i="120"/>
  <c r="F81" i="120" s="1"/>
  <c r="D123" i="132"/>
  <c r="F123" i="132" s="1"/>
  <c r="D123" i="98"/>
  <c r="F123" i="98" s="1"/>
  <c r="D81" i="98"/>
  <c r="F81" i="98" s="1"/>
  <c r="D73" i="135"/>
  <c r="F73" i="135" s="1"/>
  <c r="D90" i="136"/>
  <c r="F90" i="136" s="1"/>
  <c r="D123" i="113"/>
  <c r="F123" i="113" s="1"/>
  <c r="D81" i="132"/>
  <c r="F81" i="132" s="1"/>
  <c r="D73" i="99"/>
  <c r="F73" i="99" s="1"/>
  <c r="D90" i="139"/>
  <c r="F90" i="139" s="1"/>
  <c r="D81" i="113"/>
  <c r="F81" i="113" s="1"/>
  <c r="D73" i="119"/>
  <c r="F73" i="119" s="1"/>
  <c r="D90" i="98"/>
  <c r="F90" i="98" s="1"/>
  <c r="D81" i="124"/>
  <c r="F81" i="124" s="1"/>
  <c r="D73" i="113"/>
  <c r="F73" i="113" s="1"/>
  <c r="D73" i="117"/>
  <c r="F73" i="117" s="1"/>
  <c r="D90" i="95"/>
  <c r="F90" i="95" s="1"/>
  <c r="D90" i="97"/>
  <c r="F90" i="97" s="1"/>
  <c r="D82" i="136"/>
  <c r="F82" i="136" s="1"/>
  <c r="D123" i="135"/>
  <c r="F123" i="135" s="1"/>
  <c r="D123" i="123"/>
  <c r="F123" i="123" s="1"/>
  <c r="D75" i="138"/>
  <c r="F75" i="138" s="1"/>
  <c r="D75" i="96"/>
  <c r="F75" i="96" s="1"/>
  <c r="D81" i="140"/>
  <c r="F81" i="140" s="1"/>
  <c r="D81" i="118"/>
  <c r="F81" i="118" s="1"/>
  <c r="D81" i="86"/>
  <c r="F81" i="86" s="1"/>
  <c r="D90" i="116"/>
  <c r="F90" i="116" s="1"/>
  <c r="D82" i="95"/>
  <c r="F82" i="95" s="1"/>
  <c r="D123" i="120"/>
  <c r="F123" i="120" s="1"/>
  <c r="D123" i="91"/>
  <c r="F123" i="91" s="1"/>
  <c r="D75" i="133"/>
  <c r="F75" i="133" s="1"/>
  <c r="D75" i="119"/>
  <c r="F75" i="119" s="1"/>
  <c r="D81" i="139"/>
  <c r="F81" i="139" s="1"/>
  <c r="D81" i="91"/>
  <c r="F81" i="91" s="1"/>
  <c r="D73" i="137"/>
  <c r="F73" i="137" s="1"/>
  <c r="D82" i="132"/>
  <c r="F82" i="132" s="1"/>
  <c r="D125" i="139"/>
  <c r="F125" i="139" s="1"/>
  <c r="D125" i="86"/>
  <c r="F125" i="86" s="1"/>
  <c r="D84" i="135"/>
  <c r="F84" i="135" s="1"/>
  <c r="D73" i="139"/>
  <c r="F73" i="139" s="1"/>
  <c r="D73" i="124"/>
  <c r="F73" i="124" s="1"/>
  <c r="D126" i="96"/>
  <c r="F126" i="96" s="1"/>
  <c r="D73" i="134"/>
  <c r="F73" i="134" s="1"/>
  <c r="D73" i="98"/>
  <c r="F73" i="98" s="1"/>
  <c r="D126" i="140"/>
  <c r="F126" i="140" s="1"/>
  <c r="D81" i="133"/>
  <c r="F81" i="133" s="1"/>
  <c r="D81" i="117"/>
  <c r="F81" i="117" s="1"/>
  <c r="D73" i="133"/>
  <c r="F73" i="133" s="1"/>
  <c r="D73" i="96"/>
  <c r="F73" i="96" s="1"/>
  <c r="D126" i="137"/>
  <c r="F126" i="137" s="1"/>
  <c r="D73" i="120"/>
  <c r="F73" i="120" s="1"/>
  <c r="D126" i="134"/>
  <c r="F126" i="134" s="1"/>
  <c r="D84" i="133"/>
  <c r="F84" i="133" s="1"/>
  <c r="D84" i="91"/>
  <c r="F84" i="91" s="1"/>
  <c r="D84" i="140"/>
  <c r="F84" i="140" s="1"/>
  <c r="D84" i="139"/>
  <c r="F84" i="139" s="1"/>
  <c r="D90" i="120"/>
  <c r="F90" i="120" s="1"/>
  <c r="D126" i="136"/>
  <c r="F126" i="136" s="1"/>
  <c r="D123" i="133"/>
  <c r="F123" i="133" s="1"/>
  <c r="D123" i="117"/>
  <c r="F123" i="117" s="1"/>
  <c r="D123" i="124"/>
  <c r="F123" i="124" s="1"/>
  <c r="D84" i="116"/>
  <c r="F84" i="116" s="1"/>
  <c r="D75" i="137"/>
  <c r="F75" i="137" s="1"/>
  <c r="D75" i="117"/>
  <c r="F75" i="117" s="1"/>
  <c r="D75" i="113"/>
  <c r="F75" i="113" s="1"/>
  <c r="R31" i="128"/>
  <c r="D81" i="99"/>
  <c r="F81" i="99" s="1"/>
  <c r="D81" i="97"/>
  <c r="F81" i="97" s="1"/>
  <c r="D73" i="140"/>
  <c r="F73" i="140" s="1"/>
  <c r="D73" i="118"/>
  <c r="F73" i="118" s="1"/>
  <c r="D90" i="123"/>
  <c r="F90" i="123" s="1"/>
  <c r="D129" i="86"/>
  <c r="F129" i="86" s="1"/>
  <c r="D126" i="135"/>
  <c r="F126" i="135" s="1"/>
  <c r="D123" i="137"/>
  <c r="F123" i="137" s="1"/>
  <c r="D123" i="96"/>
  <c r="F123" i="96" s="1"/>
  <c r="D84" i="86"/>
  <c r="F84" i="86" s="1"/>
  <c r="D75" i="135"/>
  <c r="F75" i="135" s="1"/>
  <c r="D75" i="86"/>
  <c r="F75" i="86" s="1"/>
  <c r="D81" i="135"/>
  <c r="F81" i="135" s="1"/>
  <c r="D81" i="119"/>
  <c r="F81" i="119" s="1"/>
  <c r="S28" i="128"/>
  <c r="D73" i="91"/>
  <c r="F73" i="91" s="1"/>
  <c r="D90" i="86"/>
  <c r="F90" i="86" s="1"/>
  <c r="D78" i="98"/>
  <c r="F78" i="98" s="1"/>
  <c r="D126" i="119"/>
  <c r="F126" i="119" s="1"/>
  <c r="D90" i="96"/>
  <c r="F90" i="96" s="1"/>
  <c r="D78" i="95"/>
  <c r="F78" i="95" s="1"/>
  <c r="D126" i="97"/>
  <c r="F126" i="97" s="1"/>
  <c r="R32" i="128"/>
  <c r="D84" i="132"/>
  <c r="F84" i="132" s="1"/>
  <c r="D84" i="117"/>
  <c r="F84" i="117" s="1"/>
  <c r="D84" i="134"/>
  <c r="F84" i="134" s="1"/>
  <c r="D84" i="124"/>
  <c r="F84" i="124" s="1"/>
  <c r="D84" i="123"/>
  <c r="F84" i="123" s="1"/>
  <c r="R33" i="128"/>
  <c r="D97" i="133"/>
  <c r="F97" i="133" s="1"/>
  <c r="D102" i="96"/>
  <c r="F102" i="96" s="1"/>
  <c r="D84" i="120"/>
  <c r="F84" i="120" s="1"/>
  <c r="D84" i="113"/>
  <c r="F84" i="113" s="1"/>
  <c r="D84" i="96"/>
  <c r="F84" i="96" s="1"/>
  <c r="D87" i="134"/>
  <c r="F87" i="134" s="1"/>
  <c r="D97" i="96"/>
  <c r="F97" i="96" s="1"/>
  <c r="D79" i="135"/>
  <c r="F79" i="135" s="1"/>
  <c r="D84" i="136"/>
  <c r="F84" i="136" s="1"/>
  <c r="D84" i="98"/>
  <c r="F84" i="98" s="1"/>
  <c r="D84" i="119"/>
  <c r="F84" i="119" s="1"/>
  <c r="D87" i="119"/>
  <c r="F87" i="119" s="1"/>
  <c r="D79" i="119"/>
  <c r="F79" i="119" s="1"/>
  <c r="D84" i="138"/>
  <c r="F84" i="138" s="1"/>
  <c r="D84" i="95"/>
  <c r="F84" i="95" s="1"/>
  <c r="D84" i="99"/>
  <c r="F84" i="99" s="1"/>
  <c r="D87" i="95"/>
  <c r="F87" i="95" s="1"/>
  <c r="D78" i="99"/>
  <c r="F78" i="99" s="1"/>
  <c r="D79" i="91"/>
  <c r="F79" i="91" s="1"/>
  <c r="D84" i="137"/>
  <c r="F84" i="137" s="1"/>
  <c r="D84" i="97"/>
  <c r="F84" i="97" s="1"/>
  <c r="D79" i="136"/>
  <c r="F79" i="136" s="1"/>
  <c r="D79" i="132"/>
  <c r="F79" i="132" s="1"/>
  <c r="D79" i="113"/>
  <c r="F79" i="113" s="1"/>
  <c r="D87" i="140"/>
  <c r="F87" i="140" s="1"/>
  <c r="D87" i="132"/>
  <c r="F87" i="132" s="1"/>
  <c r="D87" i="99"/>
  <c r="F87" i="99" s="1"/>
  <c r="D102" i="99"/>
  <c r="F102" i="99" s="1"/>
  <c r="D79" i="137"/>
  <c r="F79" i="137" s="1"/>
  <c r="D79" i="117"/>
  <c r="F79" i="117" s="1"/>
  <c r="D79" i="124"/>
  <c r="F79" i="124" s="1"/>
  <c r="D87" i="139"/>
  <c r="F87" i="139" s="1"/>
  <c r="D87" i="120"/>
  <c r="F87" i="120" s="1"/>
  <c r="D87" i="118"/>
  <c r="F87" i="118" s="1"/>
  <c r="D102" i="98"/>
  <c r="F102" i="98" s="1"/>
  <c r="D79" i="138"/>
  <c r="F79" i="138" s="1"/>
  <c r="D79" i="123"/>
  <c r="F79" i="123" s="1"/>
  <c r="D79" i="98"/>
  <c r="F79" i="98" s="1"/>
  <c r="D87" i="136"/>
  <c r="F87" i="136" s="1"/>
  <c r="D87" i="116"/>
  <c r="F87" i="116" s="1"/>
  <c r="D87" i="91"/>
  <c r="F87" i="91" s="1"/>
  <c r="R38" i="128"/>
  <c r="D102" i="95"/>
  <c r="F102" i="95" s="1"/>
  <c r="D78" i="136"/>
  <c r="F78" i="136" s="1"/>
  <c r="D78" i="97"/>
  <c r="F78" i="97" s="1"/>
  <c r="S30" i="128"/>
  <c r="S50" i="128" s="1"/>
  <c r="D79" i="133"/>
  <c r="F79" i="133" s="1"/>
  <c r="D79" i="96"/>
  <c r="F79" i="96" s="1"/>
  <c r="D79" i="95"/>
  <c r="F79" i="95" s="1"/>
  <c r="D87" i="138"/>
  <c r="F87" i="138" s="1"/>
  <c r="D87" i="97"/>
  <c r="F87" i="97" s="1"/>
  <c r="D87" i="86"/>
  <c r="F87" i="86" s="1"/>
  <c r="D102" i="135"/>
  <c r="F102" i="135" s="1"/>
  <c r="D102" i="97"/>
  <c r="F102" i="97" s="1"/>
  <c r="D78" i="138"/>
  <c r="F78" i="138" s="1"/>
  <c r="D72" i="98"/>
  <c r="F72" i="98" s="1"/>
  <c r="D79" i="139"/>
  <c r="F79" i="139" s="1"/>
  <c r="D79" i="116"/>
  <c r="F79" i="116" s="1"/>
  <c r="D79" i="86"/>
  <c r="F79" i="86" s="1"/>
  <c r="D87" i="137"/>
  <c r="F87" i="137" s="1"/>
  <c r="D87" i="117"/>
  <c r="F87" i="117" s="1"/>
  <c r="D87" i="113"/>
  <c r="F87" i="113" s="1"/>
  <c r="D102" i="134"/>
  <c r="F102" i="134" s="1"/>
  <c r="D102" i="116"/>
  <c r="F102" i="116" s="1"/>
  <c r="D78" i="137"/>
  <c r="F78" i="137" s="1"/>
  <c r="D72" i="97"/>
  <c r="F72" i="97" s="1"/>
  <c r="D79" i="140"/>
  <c r="F79" i="140" s="1"/>
  <c r="D79" i="97"/>
  <c r="F79" i="97" s="1"/>
  <c r="D79" i="99"/>
  <c r="F79" i="99" s="1"/>
  <c r="D87" i="133"/>
  <c r="F87" i="133" s="1"/>
  <c r="D87" i="123"/>
  <c r="F87" i="123" s="1"/>
  <c r="D87" i="124"/>
  <c r="F87" i="124" s="1"/>
  <c r="D102" i="120"/>
  <c r="F102" i="120" s="1"/>
  <c r="D102" i="117"/>
  <c r="F102" i="117" s="1"/>
  <c r="D78" i="96"/>
  <c r="F78" i="96" s="1"/>
  <c r="D72" i="99"/>
  <c r="F72" i="99" s="1"/>
  <c r="D79" i="134"/>
  <c r="F79" i="134" s="1"/>
  <c r="D79" i="120"/>
  <c r="F79" i="120" s="1"/>
  <c r="D87" i="135"/>
  <c r="F87" i="135" s="1"/>
  <c r="D87" i="96"/>
  <c r="F87" i="96" s="1"/>
  <c r="D102" i="119"/>
  <c r="F102" i="119" s="1"/>
  <c r="D78" i="119"/>
  <c r="F78" i="119" s="1"/>
  <c r="D72" i="118"/>
  <c r="F72" i="118" s="1"/>
  <c r="D126" i="113"/>
  <c r="F126" i="113" s="1"/>
  <c r="D78" i="135"/>
  <c r="F78" i="135" s="1"/>
  <c r="D78" i="117"/>
  <c r="F78" i="117" s="1"/>
  <c r="D126" i="138"/>
  <c r="F126" i="138" s="1"/>
  <c r="D126" i="123"/>
  <c r="F126" i="123" s="1"/>
  <c r="S36" i="128"/>
  <c r="D78" i="120"/>
  <c r="F78" i="120" s="1"/>
  <c r="D72" i="137"/>
  <c r="F72" i="137" s="1"/>
  <c r="D126" i="133"/>
  <c r="F126" i="133" s="1"/>
  <c r="D126" i="117"/>
  <c r="F126" i="117" s="1"/>
  <c r="S31" i="128"/>
  <c r="D82" i="133"/>
  <c r="F82" i="133" s="1"/>
  <c r="D82" i="118"/>
  <c r="F82" i="118" s="1"/>
  <c r="D82" i="117"/>
  <c r="F82" i="117" s="1"/>
  <c r="D125" i="132"/>
  <c r="F125" i="132" s="1"/>
  <c r="D125" i="96"/>
  <c r="F125" i="96" s="1"/>
  <c r="D125" i="99"/>
  <c r="F125" i="99" s="1"/>
  <c r="D82" i="134"/>
  <c r="F82" i="134" s="1"/>
  <c r="D82" i="123"/>
  <c r="F82" i="123" s="1"/>
  <c r="D82" i="91"/>
  <c r="F82" i="91" s="1"/>
  <c r="D125" i="138"/>
  <c r="F125" i="138" s="1"/>
  <c r="D125" i="134"/>
  <c r="F125" i="134" s="1"/>
  <c r="D125" i="91"/>
  <c r="F125" i="91" s="1"/>
  <c r="D82" i="139"/>
  <c r="F82" i="139" s="1"/>
  <c r="D82" i="86"/>
  <c r="F82" i="86" s="1"/>
  <c r="D82" i="113"/>
  <c r="F82" i="113" s="1"/>
  <c r="D125" i="133"/>
  <c r="F125" i="133" s="1"/>
  <c r="D125" i="136"/>
  <c r="F125" i="136" s="1"/>
  <c r="D125" i="116"/>
  <c r="F125" i="116" s="1"/>
  <c r="D82" i="140"/>
  <c r="F82" i="140" s="1"/>
  <c r="D82" i="120"/>
  <c r="F82" i="120" s="1"/>
  <c r="D82" i="124"/>
  <c r="F82" i="124" s="1"/>
  <c r="D125" i="137"/>
  <c r="F125" i="137" s="1"/>
  <c r="D125" i="135"/>
  <c r="F125" i="135" s="1"/>
  <c r="D125" i="95"/>
  <c r="F125" i="95" s="1"/>
  <c r="D91" i="134"/>
  <c r="F91" i="134" s="1"/>
  <c r="D82" i="135"/>
  <c r="F82" i="135" s="1"/>
  <c r="D82" i="119"/>
  <c r="F82" i="119" s="1"/>
  <c r="D82" i="98"/>
  <c r="F82" i="98" s="1"/>
  <c r="D125" i="140"/>
  <c r="F125" i="140" s="1"/>
  <c r="D125" i="118"/>
  <c r="F125" i="118" s="1"/>
  <c r="D125" i="123"/>
  <c r="F125" i="123" s="1"/>
  <c r="D97" i="113"/>
  <c r="F97" i="113" s="1"/>
  <c r="D72" i="136"/>
  <c r="F72" i="136" s="1"/>
  <c r="D88" i="113"/>
  <c r="F88" i="113" s="1"/>
  <c r="D126" i="91"/>
  <c r="F126" i="91" s="1"/>
  <c r="D126" i="116"/>
  <c r="F126" i="116" s="1"/>
  <c r="D91" i="91"/>
  <c r="F91" i="91" s="1"/>
  <c r="D82" i="137"/>
  <c r="F82" i="137" s="1"/>
  <c r="D82" i="96"/>
  <c r="F82" i="96" s="1"/>
  <c r="D82" i="97"/>
  <c r="F82" i="97" s="1"/>
  <c r="D125" i="120"/>
  <c r="F125" i="120" s="1"/>
  <c r="D125" i="113"/>
  <c r="F125" i="113" s="1"/>
  <c r="D125" i="117"/>
  <c r="F125" i="117" s="1"/>
  <c r="D72" i="124"/>
  <c r="F72" i="124" s="1"/>
  <c r="D126" i="120"/>
  <c r="F126" i="120" s="1"/>
  <c r="D126" i="118"/>
  <c r="F126" i="118" s="1"/>
  <c r="D82" i="138"/>
  <c r="F82" i="138" s="1"/>
  <c r="D82" i="99"/>
  <c r="F82" i="99" s="1"/>
  <c r="D125" i="97"/>
  <c r="F125" i="97" s="1"/>
  <c r="D125" i="119"/>
  <c r="F125" i="119" s="1"/>
  <c r="D78" i="91"/>
  <c r="F78" i="91" s="1"/>
  <c r="D72" i="113"/>
  <c r="F72" i="113" s="1"/>
  <c r="D126" i="132"/>
  <c r="F126" i="132" s="1"/>
  <c r="D126" i="98"/>
  <c r="F126" i="98" s="1"/>
  <c r="D90" i="138"/>
  <c r="F90" i="138" s="1"/>
  <c r="D90" i="119"/>
  <c r="F90" i="119" s="1"/>
  <c r="D90" i="117"/>
  <c r="F90" i="117" s="1"/>
  <c r="D83" i="120"/>
  <c r="F83" i="120" s="1"/>
  <c r="D90" i="137"/>
  <c r="F90" i="137" s="1"/>
  <c r="D90" i="99"/>
  <c r="F90" i="99" s="1"/>
  <c r="D83" i="118"/>
  <c r="F83" i="118" s="1"/>
  <c r="D90" i="135"/>
  <c r="F90" i="135" s="1"/>
  <c r="D90" i="118"/>
  <c r="F90" i="118" s="1"/>
  <c r="D98" i="118"/>
  <c r="F98" i="118" s="1"/>
  <c r="D90" i="134"/>
  <c r="F90" i="134" s="1"/>
  <c r="D90" i="124"/>
  <c r="F90" i="124" s="1"/>
  <c r="D98" i="117"/>
  <c r="F98" i="117" s="1"/>
  <c r="D129" i="139"/>
  <c r="F129" i="139" s="1"/>
  <c r="D129" i="134"/>
  <c r="F129" i="134" s="1"/>
  <c r="D129" i="98"/>
  <c r="F129" i="98" s="1"/>
  <c r="D129" i="136"/>
  <c r="F129" i="136" s="1"/>
  <c r="D129" i="96"/>
  <c r="F129" i="96" s="1"/>
  <c r="D129" i="137"/>
  <c r="F129" i="137" s="1"/>
  <c r="D129" i="119"/>
  <c r="F129" i="119" s="1"/>
  <c r="D129" i="140"/>
  <c r="F129" i="140" s="1"/>
  <c r="D129" i="123"/>
  <c r="F129" i="123" s="1"/>
  <c r="D129" i="120"/>
  <c r="F129" i="120" s="1"/>
  <c r="D129" i="95"/>
  <c r="F129" i="95" s="1"/>
  <c r="D103" i="136"/>
  <c r="F103" i="136" s="1"/>
  <c r="D129" i="132"/>
  <c r="F129" i="132" s="1"/>
  <c r="D129" i="118"/>
  <c r="F129" i="118" s="1"/>
  <c r="D129" i="117"/>
  <c r="F129" i="117" s="1"/>
  <c r="D98" i="134"/>
  <c r="F98" i="134" s="1"/>
  <c r="D103" i="117"/>
  <c r="F103" i="117" s="1"/>
  <c r="D129" i="133"/>
  <c r="F129" i="133" s="1"/>
  <c r="D129" i="99"/>
  <c r="F129" i="99" s="1"/>
  <c r="D98" i="98"/>
  <c r="F98" i="98" s="1"/>
  <c r="D103" i="140"/>
  <c r="F103" i="140" s="1"/>
  <c r="D103" i="99"/>
  <c r="F103" i="99" s="1"/>
  <c r="D103" i="134"/>
  <c r="F103" i="134" s="1"/>
  <c r="D103" i="118"/>
  <c r="F103" i="118" s="1"/>
  <c r="D103" i="135"/>
  <c r="F103" i="135" s="1"/>
  <c r="D103" i="124"/>
  <c r="F103" i="124" s="1"/>
  <c r="D129" i="91"/>
  <c r="F129" i="91" s="1"/>
  <c r="D129" i="124"/>
  <c r="F129" i="124" s="1"/>
  <c r="D98" i="139"/>
  <c r="F98" i="139" s="1"/>
  <c r="D103" i="116"/>
  <c r="F103" i="116" s="1"/>
  <c r="D129" i="138"/>
  <c r="F129" i="138" s="1"/>
  <c r="D129" i="135"/>
  <c r="F129" i="135" s="1"/>
  <c r="D129" i="113"/>
  <c r="F129" i="113" s="1"/>
  <c r="D98" i="124"/>
  <c r="F98" i="124" s="1"/>
  <c r="D103" i="132"/>
  <c r="F103" i="132" s="1"/>
  <c r="D103" i="97"/>
  <c r="F103" i="97" s="1"/>
  <c r="D129" i="97"/>
  <c r="F129" i="97" s="1"/>
  <c r="D98" i="123"/>
  <c r="F98" i="123" s="1"/>
  <c r="D102" i="138"/>
  <c r="F102" i="138" s="1"/>
  <c r="D102" i="118"/>
  <c r="F102" i="118" s="1"/>
  <c r="D103" i="137"/>
  <c r="F103" i="137" s="1"/>
  <c r="D103" i="91"/>
  <c r="F103" i="91" s="1"/>
  <c r="D102" i="137"/>
  <c r="F102" i="137" s="1"/>
  <c r="D102" i="91"/>
  <c r="F102" i="91" s="1"/>
  <c r="D103" i="119"/>
  <c r="F103" i="119" s="1"/>
  <c r="D103" i="113"/>
  <c r="F103" i="113" s="1"/>
  <c r="D102" i="140"/>
  <c r="F102" i="140" s="1"/>
  <c r="D102" i="133"/>
  <c r="F102" i="133" s="1"/>
  <c r="D102" i="113"/>
  <c r="F102" i="113" s="1"/>
  <c r="D103" i="138"/>
  <c r="F103" i="138" s="1"/>
  <c r="D103" i="123"/>
  <c r="F103" i="123" s="1"/>
  <c r="D103" i="98"/>
  <c r="F103" i="98" s="1"/>
  <c r="D98" i="97"/>
  <c r="F98" i="97" s="1"/>
  <c r="D102" i="139"/>
  <c r="F102" i="139" s="1"/>
  <c r="D102" i="132"/>
  <c r="F102" i="132" s="1"/>
  <c r="D102" i="124"/>
  <c r="F102" i="124" s="1"/>
  <c r="S38" i="128"/>
  <c r="D103" i="133"/>
  <c r="F103" i="133" s="1"/>
  <c r="D103" i="96"/>
  <c r="F103" i="96" s="1"/>
  <c r="D103" i="95"/>
  <c r="F103" i="95" s="1"/>
  <c r="D102" i="136"/>
  <c r="F102" i="136" s="1"/>
  <c r="D102" i="123"/>
  <c r="F102" i="123" s="1"/>
  <c r="D103" i="139"/>
  <c r="F103" i="139" s="1"/>
  <c r="D103" i="120"/>
  <c r="F103" i="120" s="1"/>
  <c r="D96" i="140"/>
  <c r="F96" i="140" s="1"/>
  <c r="D96" i="96"/>
  <c r="F96" i="96" s="1"/>
  <c r="R34" i="128"/>
  <c r="D90" i="133"/>
  <c r="F90" i="133" s="1"/>
  <c r="D90" i="91"/>
  <c r="F90" i="91" s="1"/>
  <c r="R28" i="128"/>
  <c r="D72" i="96"/>
  <c r="F72" i="96" s="1"/>
  <c r="D98" i="136"/>
  <c r="F98" i="136" s="1"/>
  <c r="D98" i="116"/>
  <c r="F98" i="116" s="1"/>
  <c r="D96" i="139"/>
  <c r="F96" i="139" s="1"/>
  <c r="D96" i="86"/>
  <c r="F96" i="86" s="1"/>
  <c r="D90" i="140"/>
  <c r="F90" i="140" s="1"/>
  <c r="D90" i="132"/>
  <c r="F90" i="132" s="1"/>
  <c r="D72" i="134"/>
  <c r="F72" i="134" s="1"/>
  <c r="D72" i="119"/>
  <c r="F72" i="119" s="1"/>
  <c r="D98" i="137"/>
  <c r="F98" i="137" s="1"/>
  <c r="D98" i="91"/>
  <c r="F98" i="91" s="1"/>
  <c r="D83" i="133"/>
  <c r="F83" i="133" s="1"/>
  <c r="D83" i="119"/>
  <c r="F83" i="119" s="1"/>
  <c r="D73" i="95"/>
  <c r="F73" i="95" s="1"/>
  <c r="R36" i="128"/>
  <c r="D96" i="124"/>
  <c r="F96" i="124" s="1"/>
  <c r="D96" i="91"/>
  <c r="F96" i="91" s="1"/>
  <c r="D83" i="140"/>
  <c r="F83" i="140" s="1"/>
  <c r="D83" i="96"/>
  <c r="F83" i="96" s="1"/>
  <c r="D98" i="135"/>
  <c r="F98" i="135" s="1"/>
  <c r="D98" i="113"/>
  <c r="F98" i="113" s="1"/>
  <c r="D98" i="86"/>
  <c r="F98" i="86" s="1"/>
  <c r="D73" i="138"/>
  <c r="F73" i="138" s="1"/>
  <c r="D73" i="132"/>
  <c r="F73" i="132" s="1"/>
  <c r="D73" i="97"/>
  <c r="F73" i="97" s="1"/>
  <c r="D96" i="134"/>
  <c r="F96" i="134" s="1"/>
  <c r="D96" i="98"/>
  <c r="F96" i="98" s="1"/>
  <c r="D83" i="134"/>
  <c r="F83" i="134" s="1"/>
  <c r="D83" i="116"/>
  <c r="F83" i="116" s="1"/>
  <c r="D98" i="138"/>
  <c r="F98" i="138" s="1"/>
  <c r="D98" i="96"/>
  <c r="F98" i="96" s="1"/>
  <c r="D98" i="95"/>
  <c r="F98" i="95" s="1"/>
  <c r="D73" i="116"/>
  <c r="F73" i="116" s="1"/>
  <c r="D96" i="120"/>
  <c r="F96" i="120" s="1"/>
  <c r="D96" i="97"/>
  <c r="F96" i="97" s="1"/>
  <c r="D83" i="137"/>
  <c r="F83" i="137" s="1"/>
  <c r="D83" i="86"/>
  <c r="F83" i="86" s="1"/>
  <c r="D98" i="133"/>
  <c r="F98" i="133" s="1"/>
  <c r="D98" i="119"/>
  <c r="F98" i="119" s="1"/>
  <c r="D98" i="99"/>
  <c r="F98" i="99" s="1"/>
  <c r="D83" i="98"/>
  <c r="F83" i="98" s="1"/>
  <c r="D73" i="136"/>
  <c r="F73" i="136" s="1"/>
  <c r="D73" i="86"/>
  <c r="F73" i="86" s="1"/>
  <c r="D96" i="135"/>
  <c r="F96" i="135" s="1"/>
  <c r="D96" i="117"/>
  <c r="F96" i="117" s="1"/>
  <c r="D83" i="95"/>
  <c r="F83" i="95" s="1"/>
  <c r="D98" i="140"/>
  <c r="F98" i="140" s="1"/>
  <c r="D98" i="120"/>
  <c r="F98" i="120" s="1"/>
  <c r="L39" i="128"/>
  <c r="Q27" i="128"/>
  <c r="H128" i="140"/>
  <c r="H128" i="136"/>
  <c r="H128" i="86"/>
  <c r="H128" i="91"/>
  <c r="H128" i="117"/>
  <c r="H128" i="118"/>
  <c r="H128" i="139"/>
  <c r="H128" i="116"/>
  <c r="H128" i="99"/>
  <c r="H128" i="97"/>
  <c r="H128" i="119"/>
  <c r="H128" i="133"/>
  <c r="H128" i="95"/>
  <c r="H128" i="96"/>
  <c r="H128" i="98"/>
  <c r="H128" i="132"/>
  <c r="H128" i="138"/>
  <c r="H128" i="124"/>
  <c r="H128" i="123"/>
  <c r="H128" i="113"/>
  <c r="H128" i="137"/>
  <c r="H128" i="120"/>
  <c r="H128" i="135"/>
  <c r="H128" i="134"/>
  <c r="H95" i="133"/>
  <c r="D96" i="136"/>
  <c r="F96" i="136" s="1"/>
  <c r="D96" i="113"/>
  <c r="F96" i="113" s="1"/>
  <c r="D96" i="99"/>
  <c r="F96" i="99" s="1"/>
  <c r="D78" i="134"/>
  <c r="F78" i="134" s="1"/>
  <c r="D78" i="118"/>
  <c r="F78" i="118" s="1"/>
  <c r="D78" i="116"/>
  <c r="F78" i="116" s="1"/>
  <c r="D72" i="138"/>
  <c r="F72" i="138" s="1"/>
  <c r="D72" i="95"/>
  <c r="F72" i="95" s="1"/>
  <c r="D72" i="86"/>
  <c r="F72" i="86" s="1"/>
  <c r="D83" i="136"/>
  <c r="F83" i="136" s="1"/>
  <c r="D83" i="113"/>
  <c r="F83" i="113" s="1"/>
  <c r="D83" i="91"/>
  <c r="F83" i="91" s="1"/>
  <c r="D96" i="137"/>
  <c r="F96" i="137" s="1"/>
  <c r="D96" i="95"/>
  <c r="F96" i="95" s="1"/>
  <c r="D78" i="140"/>
  <c r="F78" i="140" s="1"/>
  <c r="D78" i="133"/>
  <c r="F78" i="133" s="1"/>
  <c r="D78" i="113"/>
  <c r="F78" i="113" s="1"/>
  <c r="D72" i="120"/>
  <c r="D72" i="135"/>
  <c r="F72" i="135" s="1"/>
  <c r="D72" i="116"/>
  <c r="F72" i="116" s="1"/>
  <c r="D72" i="91"/>
  <c r="F72" i="91" s="1"/>
  <c r="D83" i="135"/>
  <c r="F83" i="135" s="1"/>
  <c r="D83" i="99"/>
  <c r="F83" i="99" s="1"/>
  <c r="D83" i="123"/>
  <c r="F83" i="123" s="1"/>
  <c r="D78" i="139"/>
  <c r="F78" i="139" s="1"/>
  <c r="D78" i="132"/>
  <c r="F78" i="132" s="1"/>
  <c r="D78" i="124"/>
  <c r="F78" i="124" s="1"/>
  <c r="D72" i="140"/>
  <c r="F72" i="140" s="1"/>
  <c r="D72" i="133"/>
  <c r="F72" i="133" s="1"/>
  <c r="D72" i="117"/>
  <c r="F72" i="117" s="1"/>
  <c r="D83" i="138"/>
  <c r="F83" i="138" s="1"/>
  <c r="D83" i="97"/>
  <c r="F83" i="97" s="1"/>
  <c r="D83" i="124"/>
  <c r="F83" i="124" s="1"/>
  <c r="R30" i="128"/>
  <c r="D78" i="123"/>
  <c r="F78" i="123" s="1"/>
  <c r="D72" i="139"/>
  <c r="F72" i="139" s="1"/>
  <c r="D72" i="132"/>
  <c r="F72" i="132" s="1"/>
  <c r="D83" i="139"/>
  <c r="F83" i="139" s="1"/>
  <c r="D83" i="132"/>
  <c r="F83" i="132" s="1"/>
  <c r="D97" i="139"/>
  <c r="F97" i="139" s="1"/>
  <c r="D97" i="120"/>
  <c r="F97" i="120" s="1"/>
  <c r="D97" i="124"/>
  <c r="F97" i="124" s="1"/>
  <c r="D88" i="124"/>
  <c r="F88" i="124" s="1"/>
  <c r="D97" i="140"/>
  <c r="F97" i="140" s="1"/>
  <c r="D97" i="119"/>
  <c r="F97" i="119" s="1"/>
  <c r="D97" i="98"/>
  <c r="F97" i="98" s="1"/>
  <c r="D88" i="116"/>
  <c r="F88" i="116" s="1"/>
  <c r="D97" i="137"/>
  <c r="F97" i="137" s="1"/>
  <c r="D97" i="132"/>
  <c r="F97" i="132" s="1"/>
  <c r="D97" i="95"/>
  <c r="F97" i="95" s="1"/>
  <c r="D88" i="96"/>
  <c r="F88" i="96" s="1"/>
  <c r="D97" i="138"/>
  <c r="F97" i="138" s="1"/>
  <c r="D97" i="99"/>
  <c r="F97" i="99" s="1"/>
  <c r="D97" i="97"/>
  <c r="F97" i="97" s="1"/>
  <c r="D88" i="140"/>
  <c r="F88" i="140" s="1"/>
  <c r="D97" i="134"/>
  <c r="F97" i="134" s="1"/>
  <c r="D97" i="118"/>
  <c r="F97" i="118" s="1"/>
  <c r="D97" i="116"/>
  <c r="F97" i="116" s="1"/>
  <c r="D88" i="139"/>
  <c r="F88" i="139" s="1"/>
  <c r="D97" i="135"/>
  <c r="F97" i="135" s="1"/>
  <c r="D97" i="91"/>
  <c r="F97" i="91" s="1"/>
  <c r="D97" i="117"/>
  <c r="F97" i="117" s="1"/>
  <c r="D88" i="136"/>
  <c r="F88" i="136" s="1"/>
  <c r="D97" i="136"/>
  <c r="F97" i="136" s="1"/>
  <c r="D97" i="86"/>
  <c r="F97" i="86" s="1"/>
  <c r="D88" i="119"/>
  <c r="F88" i="119" s="1"/>
  <c r="D88" i="86"/>
  <c r="F88" i="86" s="1"/>
  <c r="D88" i="134"/>
  <c r="F88" i="134" s="1"/>
  <c r="D88" i="132"/>
  <c r="F88" i="132" s="1"/>
  <c r="D88" i="117"/>
  <c r="F88" i="117" s="1"/>
  <c r="D88" i="135"/>
  <c r="F88" i="135" s="1"/>
  <c r="D88" i="120"/>
  <c r="F88" i="120" s="1"/>
  <c r="D88" i="123"/>
  <c r="F88" i="123" s="1"/>
  <c r="D88" i="137"/>
  <c r="F88" i="137" s="1"/>
  <c r="D88" i="98"/>
  <c r="F88" i="98" s="1"/>
  <c r="D88" i="99"/>
  <c r="F88" i="99" s="1"/>
  <c r="D88" i="138"/>
  <c r="F88" i="138" s="1"/>
  <c r="D88" i="95"/>
  <c r="F88" i="95" s="1"/>
  <c r="D88" i="118"/>
  <c r="F88" i="118" s="1"/>
  <c r="S33" i="128"/>
  <c r="D88" i="133"/>
  <c r="F88" i="133" s="1"/>
  <c r="D88" i="97"/>
  <c r="F88" i="97" s="1"/>
  <c r="D91" i="135"/>
  <c r="F91" i="135" s="1"/>
  <c r="D91" i="132"/>
  <c r="F91" i="132" s="1"/>
  <c r="D91" i="113"/>
  <c r="F91" i="113" s="1"/>
  <c r="D91" i="136"/>
  <c r="F91" i="136" s="1"/>
  <c r="D91" i="116"/>
  <c r="F91" i="116" s="1"/>
  <c r="D91" i="124"/>
  <c r="F91" i="124" s="1"/>
  <c r="L5" i="128"/>
  <c r="D91" i="137"/>
  <c r="F91" i="137" s="1"/>
  <c r="D91" i="117"/>
  <c r="F91" i="117" s="1"/>
  <c r="D91" i="98"/>
  <c r="F91" i="98" s="1"/>
  <c r="D91" i="138"/>
  <c r="F91" i="138" s="1"/>
  <c r="D91" i="123"/>
  <c r="F91" i="123" s="1"/>
  <c r="D91" i="95"/>
  <c r="F91" i="95" s="1"/>
  <c r="S34" i="128"/>
  <c r="D91" i="133"/>
  <c r="F91" i="133" s="1"/>
  <c r="D91" i="96"/>
  <c r="F91" i="96" s="1"/>
  <c r="D91" i="86"/>
  <c r="F91" i="86" s="1"/>
  <c r="D91" i="139"/>
  <c r="F91" i="139" s="1"/>
  <c r="D91" i="97"/>
  <c r="F91" i="97" s="1"/>
  <c r="D91" i="99"/>
  <c r="F91" i="99" s="1"/>
  <c r="D91" i="140"/>
  <c r="F91" i="140" s="1"/>
  <c r="D91" i="120"/>
  <c r="F91" i="120" s="1"/>
  <c r="D95" i="123"/>
  <c r="F95" i="123" s="1"/>
  <c r="D95" i="86"/>
  <c r="F95" i="86" s="1"/>
  <c r="D95" i="91"/>
  <c r="F95" i="91" s="1"/>
  <c r="D95" i="116"/>
  <c r="F95" i="116" s="1"/>
  <c r="D95" i="96"/>
  <c r="F95" i="96" s="1"/>
  <c r="D95" i="95"/>
  <c r="F95" i="95" s="1"/>
  <c r="D95" i="117"/>
  <c r="F95" i="117" s="1"/>
  <c r="D95" i="119"/>
  <c r="F95" i="119" s="1"/>
  <c r="D95" i="113"/>
  <c r="F95" i="113" s="1"/>
  <c r="D95" i="118"/>
  <c r="F95" i="118" s="1"/>
  <c r="D95" i="120"/>
  <c r="F95" i="120" s="1"/>
  <c r="D95" i="98"/>
  <c r="F95" i="98" s="1"/>
  <c r="D95" i="124"/>
  <c r="F95" i="124" s="1"/>
  <c r="D95" i="97"/>
  <c r="F95" i="97" s="1"/>
  <c r="D95" i="132"/>
  <c r="F95" i="132" s="1"/>
  <c r="D95" i="135"/>
  <c r="F95" i="135" s="1"/>
  <c r="D95" i="137"/>
  <c r="F95" i="137" s="1"/>
  <c r="D95" i="136"/>
  <c r="F95" i="136" s="1"/>
  <c r="D95" i="134"/>
  <c r="F95" i="134" s="1"/>
  <c r="D95" i="99"/>
  <c r="F95" i="99" s="1"/>
  <c r="D95" i="138"/>
  <c r="F95" i="138" s="1"/>
  <c r="D95" i="140"/>
  <c r="F95" i="140" s="1"/>
  <c r="D95" i="133"/>
  <c r="F95" i="133" s="1"/>
  <c r="D95" i="139"/>
  <c r="F95" i="139" s="1"/>
  <c r="S15" i="128"/>
  <c r="L15" i="128"/>
  <c r="Q6" i="128"/>
  <c r="D128" i="98"/>
  <c r="F128" i="98" s="1"/>
  <c r="D128" i="95"/>
  <c r="F128" i="95" s="1"/>
  <c r="D128" i="91"/>
  <c r="F128" i="91" s="1"/>
  <c r="D128" i="116"/>
  <c r="F128" i="116" s="1"/>
  <c r="D128" i="96"/>
  <c r="F128" i="96" s="1"/>
  <c r="D128" i="86"/>
  <c r="F128" i="86" s="1"/>
  <c r="D128" i="124"/>
  <c r="F128" i="124" s="1"/>
  <c r="D128" i="113"/>
  <c r="F128" i="113" s="1"/>
  <c r="D128" i="119"/>
  <c r="F128" i="119" s="1"/>
  <c r="D128" i="99"/>
  <c r="F128" i="99" s="1"/>
  <c r="D128" i="97"/>
  <c r="F128" i="97" s="1"/>
  <c r="D128" i="118"/>
  <c r="F128" i="118" s="1"/>
  <c r="D128" i="117"/>
  <c r="F128" i="117" s="1"/>
  <c r="D128" i="123"/>
  <c r="F128" i="123" s="1"/>
  <c r="D128" i="120"/>
  <c r="F128" i="120" s="1"/>
  <c r="D128" i="135"/>
  <c r="F128" i="135" s="1"/>
  <c r="D128" i="137"/>
  <c r="F128" i="137" s="1"/>
  <c r="D128" i="133"/>
  <c r="F128" i="133" s="1"/>
  <c r="D128" i="136"/>
  <c r="F128" i="136" s="1"/>
  <c r="D128" i="138"/>
  <c r="F128" i="138" s="1"/>
  <c r="D128" i="132"/>
  <c r="F128" i="132" s="1"/>
  <c r="D128" i="139"/>
  <c r="F128" i="139" s="1"/>
  <c r="D128" i="134"/>
  <c r="F128" i="134" s="1"/>
  <c r="D128" i="140"/>
  <c r="F128" i="140" s="1"/>
  <c r="D93" i="96"/>
  <c r="F93" i="96" s="1"/>
  <c r="D93" i="123"/>
  <c r="F93" i="123" s="1"/>
  <c r="D93" i="117"/>
  <c r="F93" i="117" s="1"/>
  <c r="D93" i="116"/>
  <c r="F93" i="116" s="1"/>
  <c r="D93" i="97"/>
  <c r="F93" i="97" s="1"/>
  <c r="D93" i="86"/>
  <c r="F93" i="86" s="1"/>
  <c r="D93" i="95"/>
  <c r="F93" i="95" s="1"/>
  <c r="D93" i="98"/>
  <c r="F93" i="98" s="1"/>
  <c r="D93" i="124"/>
  <c r="F93" i="124" s="1"/>
  <c r="D93" i="113"/>
  <c r="F93" i="113" s="1"/>
  <c r="D93" i="91"/>
  <c r="F93" i="91" s="1"/>
  <c r="D93" i="118"/>
  <c r="F93" i="118" s="1"/>
  <c r="D93" i="99"/>
  <c r="F93" i="99" s="1"/>
  <c r="D93" i="119"/>
  <c r="F93" i="119" s="1"/>
  <c r="D93" i="132"/>
  <c r="F93" i="132" s="1"/>
  <c r="D93" i="133"/>
  <c r="F93" i="133" s="1"/>
  <c r="D93" i="120"/>
  <c r="F93" i="120" s="1"/>
  <c r="D93" i="138"/>
  <c r="F93" i="138" s="1"/>
  <c r="D93" i="136"/>
  <c r="F93" i="136" s="1"/>
  <c r="D93" i="134"/>
  <c r="F93" i="134" s="1"/>
  <c r="D93" i="135"/>
  <c r="F93" i="135" s="1"/>
  <c r="D93" i="139"/>
  <c r="F93" i="139" s="1"/>
  <c r="D93" i="137"/>
  <c r="F93" i="137" s="1"/>
  <c r="D93" i="140"/>
  <c r="F93" i="140" s="1"/>
  <c r="R35" i="128"/>
  <c r="D94" i="117"/>
  <c r="F94" i="117" s="1"/>
  <c r="D94" i="116"/>
  <c r="F94" i="116" s="1"/>
  <c r="D94" i="97"/>
  <c r="F94" i="97" s="1"/>
  <c r="D94" i="95"/>
  <c r="F94" i="95" s="1"/>
  <c r="D94" i="98"/>
  <c r="F94" i="98" s="1"/>
  <c r="D94" i="86"/>
  <c r="F94" i="86" s="1"/>
  <c r="D94" i="124"/>
  <c r="F94" i="124" s="1"/>
  <c r="D94" i="113"/>
  <c r="F94" i="113" s="1"/>
  <c r="D94" i="91"/>
  <c r="F94" i="91" s="1"/>
  <c r="D94" i="118"/>
  <c r="F94" i="118" s="1"/>
  <c r="D94" i="99"/>
  <c r="F94" i="99" s="1"/>
  <c r="D94" i="96"/>
  <c r="F94" i="96" s="1"/>
  <c r="D94" i="132"/>
  <c r="F94" i="132" s="1"/>
  <c r="D94" i="119"/>
  <c r="F94" i="119" s="1"/>
  <c r="D94" i="120"/>
  <c r="F94" i="120" s="1"/>
  <c r="D94" i="123"/>
  <c r="F94" i="123" s="1"/>
  <c r="D94" i="133"/>
  <c r="F94" i="133" s="1"/>
  <c r="D94" i="138"/>
  <c r="F94" i="138" s="1"/>
  <c r="D94" i="137"/>
  <c r="F94" i="137" s="1"/>
  <c r="D94" i="136"/>
  <c r="F94" i="136" s="1"/>
  <c r="D94" i="135"/>
  <c r="F94" i="135" s="1"/>
  <c r="S35" i="128"/>
  <c r="D94" i="140"/>
  <c r="F94" i="140" s="1"/>
  <c r="D94" i="139"/>
  <c r="F94" i="139" s="1"/>
  <c r="D94" i="134"/>
  <c r="F94" i="134" s="1"/>
  <c r="I95" i="133"/>
  <c r="L59" i="128"/>
  <c r="Q47" i="128"/>
  <c r="R48" i="128" l="1"/>
  <c r="H72" i="134"/>
  <c r="H72" i="139"/>
  <c r="H72" i="140"/>
  <c r="H72" i="99"/>
  <c r="H72" i="117"/>
  <c r="H72" i="116"/>
  <c r="H72" i="137"/>
  <c r="H72" i="118"/>
  <c r="H72" i="120"/>
  <c r="H72" i="113"/>
  <c r="H72" i="138"/>
  <c r="H72" i="133"/>
  <c r="H72" i="91"/>
  <c r="H72" i="135"/>
  <c r="H72" i="86"/>
  <c r="H72" i="136"/>
  <c r="H72" i="132"/>
  <c r="H72" i="97"/>
  <c r="H72" i="95"/>
  <c r="H72" i="96"/>
  <c r="H72" i="119"/>
  <c r="H72" i="123"/>
  <c r="H72" i="98"/>
  <c r="H72" i="124"/>
  <c r="R49" i="128"/>
  <c r="H75" i="98"/>
  <c r="H75" i="91"/>
  <c r="H75" i="123"/>
  <c r="H75" i="137"/>
  <c r="H75" i="97"/>
  <c r="H75" i="95"/>
  <c r="H75" i="134"/>
  <c r="H75" i="132"/>
  <c r="H75" i="133"/>
  <c r="H75" i="99"/>
  <c r="H75" i="116"/>
  <c r="H75" i="120"/>
  <c r="H75" i="136"/>
  <c r="H75" i="117"/>
  <c r="H75" i="139"/>
  <c r="H75" i="86"/>
  <c r="H75" i="96"/>
  <c r="H75" i="119"/>
  <c r="H75" i="124"/>
  <c r="H75" i="118"/>
  <c r="H75" i="113"/>
  <c r="H75" i="140"/>
  <c r="H75" i="135"/>
  <c r="H75" i="138"/>
  <c r="S48" i="128"/>
  <c r="H73" i="135"/>
  <c r="H73" i="97"/>
  <c r="H73" i="117"/>
  <c r="H73" i="86"/>
  <c r="H73" i="96"/>
  <c r="H73" i="98"/>
  <c r="H73" i="138"/>
  <c r="H73" i="119"/>
  <c r="H73" i="99"/>
  <c r="H73" i="123"/>
  <c r="H73" i="116"/>
  <c r="H73" i="132"/>
  <c r="H73" i="133"/>
  <c r="H73" i="136"/>
  <c r="H73" i="120"/>
  <c r="H73" i="124"/>
  <c r="H73" i="118"/>
  <c r="H73" i="91"/>
  <c r="H73" i="113"/>
  <c r="H73" i="137"/>
  <c r="H73" i="95"/>
  <c r="H73" i="139"/>
  <c r="H73" i="140"/>
  <c r="H73" i="134"/>
  <c r="S49" i="128"/>
  <c r="H76" i="140"/>
  <c r="H76" i="135"/>
  <c r="H76" i="116"/>
  <c r="H76" i="136"/>
  <c r="H76" i="138"/>
  <c r="H76" i="99"/>
  <c r="H76" i="133"/>
  <c r="H76" i="137"/>
  <c r="H76" i="139"/>
  <c r="H76" i="91"/>
  <c r="H76" i="123"/>
  <c r="H76" i="134"/>
  <c r="H76" i="124"/>
  <c r="H76" i="95"/>
  <c r="H76" i="118"/>
  <c r="H76" i="96"/>
  <c r="H76" i="98"/>
  <c r="H76" i="132"/>
  <c r="H76" i="119"/>
  <c r="H76" i="97"/>
  <c r="H76" i="120"/>
  <c r="H76" i="113"/>
  <c r="H76" i="117"/>
  <c r="H76" i="86"/>
  <c r="I92" i="140"/>
  <c r="I92" i="96"/>
  <c r="I92" i="138"/>
  <c r="I92" i="99"/>
  <c r="I92" i="136"/>
  <c r="I92" i="113"/>
  <c r="I92" i="133"/>
  <c r="I92" i="86"/>
  <c r="T48" i="128"/>
  <c r="I74" i="119" s="1"/>
  <c r="I92" i="116"/>
  <c r="I92" i="135"/>
  <c r="I92" i="137"/>
  <c r="I92" i="118"/>
  <c r="I92" i="95"/>
  <c r="I92" i="123"/>
  <c r="I92" i="119"/>
  <c r="I92" i="124"/>
  <c r="I92" i="117"/>
  <c r="I92" i="120"/>
  <c r="I92" i="91"/>
  <c r="I92" i="97"/>
  <c r="I92" i="132"/>
  <c r="I92" i="98"/>
  <c r="I92" i="139"/>
  <c r="I128" i="137"/>
  <c r="I128" i="91"/>
  <c r="I128" i="140"/>
  <c r="I128" i="138"/>
  <c r="I128" i="117"/>
  <c r="I128" i="95"/>
  <c r="I128" i="133"/>
  <c r="I128" i="97"/>
  <c r="I128" i="113"/>
  <c r="I128" i="116"/>
  <c r="I128" i="136"/>
  <c r="I128" i="120"/>
  <c r="I128" i="132"/>
  <c r="I128" i="134"/>
  <c r="I128" i="86"/>
  <c r="I128" i="98"/>
  <c r="I128" i="123"/>
  <c r="I128" i="119"/>
  <c r="I128" i="124"/>
  <c r="I128" i="118"/>
  <c r="I128" i="99"/>
  <c r="I128" i="139"/>
  <c r="I128" i="96"/>
  <c r="I128" i="135"/>
  <c r="I130" i="139"/>
  <c r="I130" i="132"/>
  <c r="I130" i="91"/>
  <c r="I130" i="113"/>
  <c r="I130" i="99"/>
  <c r="I130" i="138"/>
  <c r="I130" i="124"/>
  <c r="I130" i="98"/>
  <c r="I130" i="133"/>
  <c r="I130" i="134"/>
  <c r="I130" i="96"/>
  <c r="I130" i="140"/>
  <c r="I130" i="95"/>
  <c r="I130" i="120"/>
  <c r="I130" i="137"/>
  <c r="I130" i="116"/>
  <c r="I130" i="123"/>
  <c r="I130" i="117"/>
  <c r="I130" i="118"/>
  <c r="I130" i="119"/>
  <c r="I130" i="86"/>
  <c r="I130" i="136"/>
  <c r="I130" i="135"/>
  <c r="I130" i="97"/>
  <c r="M46" i="128"/>
  <c r="U48" i="128" s="1"/>
  <c r="H100" i="99"/>
  <c r="D105" i="95"/>
  <c r="F105" i="95" s="1"/>
  <c r="J116" i="95" s="1"/>
  <c r="EP15" i="94" s="1"/>
  <c r="D105" i="116"/>
  <c r="F105" i="116" s="1"/>
  <c r="J116" i="116" s="1"/>
  <c r="H100" i="113"/>
  <c r="H100" i="119"/>
  <c r="H100" i="124"/>
  <c r="H100" i="132"/>
  <c r="H100" i="116"/>
  <c r="H100" i="95"/>
  <c r="H100" i="123"/>
  <c r="H100" i="137"/>
  <c r="H100" i="139"/>
  <c r="H99" i="113"/>
  <c r="H100" i="136"/>
  <c r="H99" i="136"/>
  <c r="H100" i="118"/>
  <c r="H99" i="118"/>
  <c r="H100" i="86"/>
  <c r="H100" i="133"/>
  <c r="H100" i="120"/>
  <c r="S57" i="128"/>
  <c r="I100" i="91" s="1"/>
  <c r="H100" i="134"/>
  <c r="H100" i="98"/>
  <c r="H100" i="140"/>
  <c r="H99" i="132"/>
  <c r="H100" i="135"/>
  <c r="H100" i="96"/>
  <c r="H100" i="138"/>
  <c r="H99" i="116"/>
  <c r="D105" i="135"/>
  <c r="F105" i="135" s="1"/>
  <c r="J116" i="135" s="1"/>
  <c r="H99" i="99"/>
  <c r="H100" i="91"/>
  <c r="H100" i="117"/>
  <c r="H99" i="95"/>
  <c r="H99" i="119"/>
  <c r="H99" i="120"/>
  <c r="H99" i="86"/>
  <c r="H99" i="133"/>
  <c r="H99" i="98"/>
  <c r="R57" i="128"/>
  <c r="I99" i="97" s="1"/>
  <c r="H99" i="134"/>
  <c r="H99" i="140"/>
  <c r="H99" i="96"/>
  <c r="H99" i="135"/>
  <c r="H99" i="138"/>
  <c r="H99" i="137"/>
  <c r="H99" i="124"/>
  <c r="H99" i="123"/>
  <c r="H99" i="117"/>
  <c r="H99" i="91"/>
  <c r="H99" i="97"/>
  <c r="D105" i="117"/>
  <c r="F105" i="117" s="1"/>
  <c r="J116" i="117" s="1"/>
  <c r="FD8" i="94" s="1"/>
  <c r="D105" i="118"/>
  <c r="F105" i="118" s="1"/>
  <c r="J116" i="118" s="1"/>
  <c r="D105" i="99"/>
  <c r="F105" i="99" s="1"/>
  <c r="J116" i="99" s="1"/>
  <c r="D105" i="124"/>
  <c r="F105" i="124" s="1"/>
  <c r="J116" i="124" s="1"/>
  <c r="D105" i="134"/>
  <c r="F105" i="134" s="1"/>
  <c r="J116" i="134" s="1"/>
  <c r="D105" i="137"/>
  <c r="F105" i="137" s="1"/>
  <c r="J116" i="137" s="1"/>
  <c r="D105" i="133"/>
  <c r="F105" i="133" s="1"/>
  <c r="J116" i="133" s="1"/>
  <c r="D105" i="138"/>
  <c r="F105" i="138" s="1"/>
  <c r="J116" i="138" s="1"/>
  <c r="D105" i="113"/>
  <c r="F105" i="113" s="1"/>
  <c r="J116" i="113" s="1"/>
  <c r="D105" i="98"/>
  <c r="F105" i="98" s="1"/>
  <c r="J116" i="98" s="1"/>
  <c r="V47" i="128"/>
  <c r="M47" i="128" s="1"/>
  <c r="U28" i="128"/>
  <c r="U34" i="128"/>
  <c r="H127" i="134" s="1"/>
  <c r="R54" i="128"/>
  <c r="H90" i="119"/>
  <c r="H90" i="113"/>
  <c r="H90" i="99"/>
  <c r="H90" i="97"/>
  <c r="H90" i="123"/>
  <c r="H90" i="138"/>
  <c r="H90" i="140"/>
  <c r="H90" i="120"/>
  <c r="H90" i="118"/>
  <c r="H90" i="136"/>
  <c r="H90" i="139"/>
  <c r="H90" i="117"/>
  <c r="H90" i="137"/>
  <c r="H90" i="96"/>
  <c r="H90" i="98"/>
  <c r="H90" i="124"/>
  <c r="H90" i="135"/>
  <c r="H90" i="134"/>
  <c r="H90" i="86"/>
  <c r="H90" i="91"/>
  <c r="H90" i="95"/>
  <c r="H90" i="116"/>
  <c r="H90" i="132"/>
  <c r="H90" i="133"/>
  <c r="S54" i="128"/>
  <c r="H91" i="120"/>
  <c r="H91" i="118"/>
  <c r="H91" i="136"/>
  <c r="H91" i="139"/>
  <c r="H91" i="117"/>
  <c r="H91" i="137"/>
  <c r="H91" i="96"/>
  <c r="H91" i="98"/>
  <c r="H91" i="119"/>
  <c r="H91" i="113"/>
  <c r="H91" i="99"/>
  <c r="H91" i="97"/>
  <c r="H91" i="123"/>
  <c r="H91" i="138"/>
  <c r="H91" i="140"/>
  <c r="H91" i="124"/>
  <c r="H91" i="135"/>
  <c r="H91" i="134"/>
  <c r="H91" i="86"/>
  <c r="H91" i="91"/>
  <c r="H91" i="95"/>
  <c r="H91" i="116"/>
  <c r="H91" i="132"/>
  <c r="H91" i="133"/>
  <c r="S53" i="128"/>
  <c r="H88" i="119"/>
  <c r="H88" i="113"/>
  <c r="H88" i="99"/>
  <c r="H88" i="97"/>
  <c r="H88" i="123"/>
  <c r="H88" i="138"/>
  <c r="H88" i="140"/>
  <c r="H88" i="120"/>
  <c r="H88" i="118"/>
  <c r="H88" i="136"/>
  <c r="H88" i="139"/>
  <c r="H88" i="117"/>
  <c r="H88" i="137"/>
  <c r="H88" i="96"/>
  <c r="H88" i="98"/>
  <c r="H88" i="133"/>
  <c r="H88" i="91"/>
  <c r="H88" i="95"/>
  <c r="H88" i="116"/>
  <c r="H88" i="132"/>
  <c r="H88" i="124"/>
  <c r="H88" i="135"/>
  <c r="H88" i="134"/>
  <c r="H88" i="86"/>
  <c r="S51" i="128"/>
  <c r="H82" i="119"/>
  <c r="H82" i="113"/>
  <c r="H82" i="99"/>
  <c r="H82" i="97"/>
  <c r="H82" i="123"/>
  <c r="H82" i="138"/>
  <c r="H82" i="140"/>
  <c r="H82" i="120"/>
  <c r="H82" i="118"/>
  <c r="H82" i="136"/>
  <c r="H82" i="139"/>
  <c r="H82" i="117"/>
  <c r="H82" i="137"/>
  <c r="H82" i="96"/>
  <c r="H82" i="98"/>
  <c r="H82" i="91"/>
  <c r="H82" i="95"/>
  <c r="H82" i="116"/>
  <c r="H82" i="132"/>
  <c r="H82" i="133"/>
  <c r="H82" i="124"/>
  <c r="H82" i="135"/>
  <c r="H82" i="134"/>
  <c r="H82" i="86"/>
  <c r="I79" i="120"/>
  <c r="I79" i="118"/>
  <c r="I79" i="136"/>
  <c r="I79" i="139"/>
  <c r="I79" i="117"/>
  <c r="I79" i="137"/>
  <c r="I79" i="96"/>
  <c r="I79" i="98"/>
  <c r="I79" i="119"/>
  <c r="I79" i="113"/>
  <c r="I79" i="99"/>
  <c r="I79" i="97"/>
  <c r="I79" i="123"/>
  <c r="I79" i="124"/>
  <c r="I79" i="135"/>
  <c r="I79" i="134"/>
  <c r="I79" i="86"/>
  <c r="I79" i="138"/>
  <c r="I79" i="133"/>
  <c r="I79" i="140"/>
  <c r="I79" i="91"/>
  <c r="I79" i="95"/>
  <c r="I79" i="116"/>
  <c r="I79" i="132"/>
  <c r="S58" i="128"/>
  <c r="H103" i="120"/>
  <c r="H103" i="118"/>
  <c r="H103" i="136"/>
  <c r="H103" i="139"/>
  <c r="H103" i="117"/>
  <c r="H103" i="137"/>
  <c r="H103" i="96"/>
  <c r="H103" i="98"/>
  <c r="H103" i="119"/>
  <c r="H103" i="113"/>
  <c r="H103" i="99"/>
  <c r="H103" i="97"/>
  <c r="H103" i="123"/>
  <c r="H103" i="138"/>
  <c r="H103" i="140"/>
  <c r="H103" i="91"/>
  <c r="H103" i="124"/>
  <c r="H103" i="135"/>
  <c r="H103" i="134"/>
  <c r="H103" i="86"/>
  <c r="H103" i="95"/>
  <c r="H103" i="116"/>
  <c r="H103" i="132"/>
  <c r="H103" i="133"/>
  <c r="R51" i="128"/>
  <c r="H81" i="120"/>
  <c r="H81" i="118"/>
  <c r="H81" i="136"/>
  <c r="H81" i="139"/>
  <c r="H81" i="117"/>
  <c r="H81" i="137"/>
  <c r="H81" i="96"/>
  <c r="H81" i="98"/>
  <c r="H81" i="119"/>
  <c r="H81" i="113"/>
  <c r="H81" i="99"/>
  <c r="H81" i="97"/>
  <c r="H81" i="123"/>
  <c r="H81" i="138"/>
  <c r="H81" i="140"/>
  <c r="H81" i="91"/>
  <c r="H81" i="95"/>
  <c r="H81" i="116"/>
  <c r="H81" i="132"/>
  <c r="H81" i="133"/>
  <c r="H81" i="124"/>
  <c r="H81" i="135"/>
  <c r="H81" i="134"/>
  <c r="H81" i="86"/>
  <c r="R55" i="128"/>
  <c r="H93" i="120"/>
  <c r="H93" i="118"/>
  <c r="H93" i="136"/>
  <c r="H93" i="139"/>
  <c r="H93" i="117"/>
  <c r="H93" i="137"/>
  <c r="H93" i="96"/>
  <c r="H93" i="98"/>
  <c r="H93" i="119"/>
  <c r="H93" i="113"/>
  <c r="H93" i="99"/>
  <c r="H93" i="97"/>
  <c r="H93" i="123"/>
  <c r="H93" i="138"/>
  <c r="H93" i="140"/>
  <c r="H93" i="91"/>
  <c r="H93" i="95"/>
  <c r="H93" i="116"/>
  <c r="H93" i="132"/>
  <c r="H93" i="133"/>
  <c r="H93" i="124"/>
  <c r="H93" i="135"/>
  <c r="H93" i="134"/>
  <c r="H93" i="86"/>
  <c r="R58" i="128"/>
  <c r="H102" i="119"/>
  <c r="H102" i="113"/>
  <c r="H102" i="99"/>
  <c r="H102" i="97"/>
  <c r="H102" i="123"/>
  <c r="H102" i="138"/>
  <c r="H102" i="140"/>
  <c r="H102" i="91"/>
  <c r="H102" i="120"/>
  <c r="H102" i="118"/>
  <c r="H102" i="136"/>
  <c r="H102" i="139"/>
  <c r="H102" i="117"/>
  <c r="H102" i="137"/>
  <c r="H102" i="98"/>
  <c r="H102" i="95"/>
  <c r="H102" i="116"/>
  <c r="H102" i="132"/>
  <c r="H102" i="124"/>
  <c r="H102" i="135"/>
  <c r="H102" i="134"/>
  <c r="H102" i="86"/>
  <c r="H102" i="96"/>
  <c r="H102" i="133"/>
  <c r="R52" i="128"/>
  <c r="H84" i="119"/>
  <c r="H84" i="113"/>
  <c r="H84" i="99"/>
  <c r="H84" i="97"/>
  <c r="H84" i="123"/>
  <c r="H84" i="138"/>
  <c r="H84" i="140"/>
  <c r="H84" i="120"/>
  <c r="H84" i="118"/>
  <c r="H84" i="136"/>
  <c r="H84" i="139"/>
  <c r="H84" i="117"/>
  <c r="H84" i="137"/>
  <c r="H84" i="96"/>
  <c r="H84" i="98"/>
  <c r="H84" i="124"/>
  <c r="H84" i="135"/>
  <c r="H84" i="134"/>
  <c r="H84" i="86"/>
  <c r="H84" i="133"/>
  <c r="H84" i="91"/>
  <c r="H84" i="95"/>
  <c r="H84" i="116"/>
  <c r="H84" i="132"/>
  <c r="R56" i="128"/>
  <c r="H96" i="119"/>
  <c r="H96" i="113"/>
  <c r="H96" i="99"/>
  <c r="H96" i="97"/>
  <c r="H96" i="123"/>
  <c r="H96" i="138"/>
  <c r="H96" i="140"/>
  <c r="H96" i="120"/>
  <c r="H96" i="118"/>
  <c r="H96" i="136"/>
  <c r="H96" i="139"/>
  <c r="H96" i="117"/>
  <c r="H96" i="137"/>
  <c r="H96" i="96"/>
  <c r="H96" i="98"/>
  <c r="H96" i="124"/>
  <c r="H96" i="135"/>
  <c r="H96" i="134"/>
  <c r="H96" i="86"/>
  <c r="H96" i="133"/>
  <c r="H96" i="91"/>
  <c r="H96" i="95"/>
  <c r="H96" i="116"/>
  <c r="H96" i="132"/>
  <c r="S56" i="128"/>
  <c r="H97" i="120"/>
  <c r="H97" i="118"/>
  <c r="H97" i="136"/>
  <c r="H97" i="139"/>
  <c r="H97" i="117"/>
  <c r="H97" i="137"/>
  <c r="H97" i="96"/>
  <c r="H97" i="98"/>
  <c r="H97" i="119"/>
  <c r="H97" i="113"/>
  <c r="H97" i="99"/>
  <c r="H97" i="97"/>
  <c r="H97" i="123"/>
  <c r="H97" i="138"/>
  <c r="H97" i="140"/>
  <c r="H97" i="91"/>
  <c r="H97" i="124"/>
  <c r="H97" i="135"/>
  <c r="H97" i="134"/>
  <c r="H97" i="86"/>
  <c r="H97" i="133"/>
  <c r="H97" i="95"/>
  <c r="H97" i="116"/>
  <c r="H97" i="132"/>
  <c r="S55" i="128"/>
  <c r="H94" i="119"/>
  <c r="H94" i="113"/>
  <c r="H94" i="99"/>
  <c r="H94" i="97"/>
  <c r="H94" i="123"/>
  <c r="H94" i="138"/>
  <c r="H94" i="140"/>
  <c r="H94" i="120"/>
  <c r="H94" i="118"/>
  <c r="H94" i="136"/>
  <c r="H94" i="139"/>
  <c r="H94" i="117"/>
  <c r="H94" i="137"/>
  <c r="H94" i="96"/>
  <c r="H94" i="98"/>
  <c r="H94" i="91"/>
  <c r="H94" i="95"/>
  <c r="H94" i="116"/>
  <c r="H94" i="132"/>
  <c r="H94" i="133"/>
  <c r="H94" i="124"/>
  <c r="H94" i="135"/>
  <c r="H94" i="134"/>
  <c r="H94" i="86"/>
  <c r="R50" i="128"/>
  <c r="H78" i="119"/>
  <c r="H78" i="113"/>
  <c r="H78" i="99"/>
  <c r="H78" i="97"/>
  <c r="H78" i="123"/>
  <c r="H78" i="138"/>
  <c r="H78" i="140"/>
  <c r="H79" i="120"/>
  <c r="H79" i="118"/>
  <c r="H79" i="136"/>
  <c r="H79" i="139"/>
  <c r="H79" i="117"/>
  <c r="H79" i="137"/>
  <c r="H79" i="96"/>
  <c r="H79" i="98"/>
  <c r="H78" i="120"/>
  <c r="H78" i="118"/>
  <c r="H78" i="136"/>
  <c r="H78" i="139"/>
  <c r="H78" i="117"/>
  <c r="H78" i="137"/>
  <c r="H78" i="96"/>
  <c r="H78" i="98"/>
  <c r="H79" i="119"/>
  <c r="H79" i="113"/>
  <c r="H79" i="99"/>
  <c r="H79" i="97"/>
  <c r="H79" i="123"/>
  <c r="H79" i="138"/>
  <c r="H79" i="140"/>
  <c r="H79" i="124"/>
  <c r="H79" i="135"/>
  <c r="H79" i="134"/>
  <c r="H79" i="86"/>
  <c r="H78" i="124"/>
  <c r="H78" i="135"/>
  <c r="H78" i="134"/>
  <c r="H78" i="86"/>
  <c r="H79" i="91"/>
  <c r="H79" i="95"/>
  <c r="H79" i="116"/>
  <c r="H79" i="132"/>
  <c r="H79" i="133"/>
  <c r="H78" i="91"/>
  <c r="H78" i="95"/>
  <c r="H78" i="116"/>
  <c r="H78" i="132"/>
  <c r="H78" i="133"/>
  <c r="R53" i="128"/>
  <c r="H87" i="120"/>
  <c r="H87" i="118"/>
  <c r="H87" i="136"/>
  <c r="H87" i="139"/>
  <c r="H87" i="117"/>
  <c r="H87" i="137"/>
  <c r="H87" i="96"/>
  <c r="H87" i="98"/>
  <c r="H87" i="119"/>
  <c r="H87" i="113"/>
  <c r="H87" i="99"/>
  <c r="H87" i="97"/>
  <c r="H87" i="123"/>
  <c r="H87" i="138"/>
  <c r="H87" i="140"/>
  <c r="H87" i="133"/>
  <c r="H87" i="91"/>
  <c r="H87" i="95"/>
  <c r="H87" i="116"/>
  <c r="H87" i="132"/>
  <c r="H87" i="124"/>
  <c r="H87" i="135"/>
  <c r="H87" i="134"/>
  <c r="H87" i="86"/>
  <c r="S52" i="128"/>
  <c r="H85" i="120"/>
  <c r="H85" i="118"/>
  <c r="H85" i="136"/>
  <c r="H85" i="139"/>
  <c r="H85" i="117"/>
  <c r="H85" i="137"/>
  <c r="H85" i="96"/>
  <c r="H85" i="98"/>
  <c r="H85" i="119"/>
  <c r="H85" i="113"/>
  <c r="H85" i="99"/>
  <c r="H85" i="97"/>
  <c r="H85" i="123"/>
  <c r="H85" i="138"/>
  <c r="H85" i="140"/>
  <c r="H85" i="124"/>
  <c r="H85" i="135"/>
  <c r="H85" i="134"/>
  <c r="H85" i="86"/>
  <c r="H85" i="133"/>
  <c r="H85" i="91"/>
  <c r="H85" i="95"/>
  <c r="H85" i="116"/>
  <c r="H85" i="132"/>
  <c r="I74" i="120"/>
  <c r="I74" i="118"/>
  <c r="I74" i="113"/>
  <c r="I74" i="136"/>
  <c r="H74" i="119"/>
  <c r="H74" i="113"/>
  <c r="H74" i="123"/>
  <c r="H74" i="138"/>
  <c r="H74" i="99"/>
  <c r="H74" i="97"/>
  <c r="H74" i="140"/>
  <c r="H74" i="91"/>
  <c r="H74" i="95"/>
  <c r="H74" i="116"/>
  <c r="H74" i="132"/>
  <c r="H74" i="86"/>
  <c r="H74" i="120"/>
  <c r="H74" i="136"/>
  <c r="H74" i="139"/>
  <c r="H74" i="117"/>
  <c r="H74" i="137"/>
  <c r="H74" i="96"/>
  <c r="H74" i="118"/>
  <c r="H74" i="98"/>
  <c r="H74" i="124"/>
  <c r="H74" i="135"/>
  <c r="H74" i="134"/>
  <c r="H92" i="118"/>
  <c r="H92" i="136"/>
  <c r="H92" i="117"/>
  <c r="H92" i="137"/>
  <c r="H92" i="96"/>
  <c r="H92" i="135"/>
  <c r="H92" i="120"/>
  <c r="H92" i="139"/>
  <c r="H92" i="98"/>
  <c r="H92" i="124"/>
  <c r="H92" i="132"/>
  <c r="H92" i="119"/>
  <c r="H92" i="99"/>
  <c r="H92" i="97"/>
  <c r="H92" i="123"/>
  <c r="H92" i="138"/>
  <c r="H92" i="140"/>
  <c r="H92" i="113"/>
  <c r="H92" i="91"/>
  <c r="H92" i="95"/>
  <c r="H92" i="116"/>
  <c r="H92" i="134"/>
  <c r="H92" i="86"/>
  <c r="D105" i="96"/>
  <c r="F105" i="96" s="1"/>
  <c r="J116" i="96" s="1"/>
  <c r="EQ26" i="94" s="1"/>
  <c r="D105" i="140"/>
  <c r="F105" i="140" s="1"/>
  <c r="J116" i="140" s="1"/>
  <c r="FH6" i="94" s="1"/>
  <c r="D105" i="139"/>
  <c r="F105" i="139" s="1"/>
  <c r="J116" i="139" s="1"/>
  <c r="D105" i="97"/>
  <c r="F105" i="97" s="1"/>
  <c r="J116" i="97" s="1"/>
  <c r="R39" i="128"/>
  <c r="D105" i="119"/>
  <c r="F105" i="119" s="1"/>
  <c r="J116" i="119" s="1"/>
  <c r="EU24" i="94" s="1"/>
  <c r="D105" i="86"/>
  <c r="F105" i="86" s="1"/>
  <c r="J116" i="86" s="1"/>
  <c r="EX25" i="94" s="1"/>
  <c r="D105" i="120"/>
  <c r="F105" i="120" s="1"/>
  <c r="J116" i="120" s="1"/>
  <c r="EV25" i="94" s="1"/>
  <c r="D105" i="91"/>
  <c r="F105" i="91" s="1"/>
  <c r="J116" i="91" s="1"/>
  <c r="D105" i="132"/>
  <c r="F105" i="132" s="1"/>
  <c r="J116" i="132" s="1"/>
  <c r="EW24" i="94" s="1"/>
  <c r="D105" i="123"/>
  <c r="F105" i="123" s="1"/>
  <c r="J116" i="123" s="1"/>
  <c r="ER7" i="94" s="1"/>
  <c r="L27" i="128"/>
  <c r="V27" i="128"/>
  <c r="M27" i="128" s="1"/>
  <c r="H74" i="133"/>
  <c r="T13" i="128"/>
  <c r="D92" i="124" s="1"/>
  <c r="F92" i="124" s="1"/>
  <c r="T7" i="128"/>
  <c r="U7" i="128"/>
  <c r="D127" i="95"/>
  <c r="F127" i="95" s="1"/>
  <c r="M6" i="128"/>
  <c r="U39" i="128" s="1"/>
  <c r="W6" i="128"/>
  <c r="Q19" i="94"/>
  <c r="Q32" i="94"/>
  <c r="D127" i="113"/>
  <c r="F127" i="113" s="1"/>
  <c r="D127" i="133"/>
  <c r="F127" i="133" s="1"/>
  <c r="D127" i="117"/>
  <c r="F127" i="117" s="1"/>
  <c r="D127" i="91"/>
  <c r="F127" i="91" s="1"/>
  <c r="D127" i="86"/>
  <c r="F127" i="86" s="1"/>
  <c r="D127" i="137"/>
  <c r="F127" i="137" s="1"/>
  <c r="D127" i="118"/>
  <c r="F127" i="118" s="1"/>
  <c r="D127" i="97"/>
  <c r="F127" i="97" s="1"/>
  <c r="D127" i="136"/>
  <c r="F127" i="136" s="1"/>
  <c r="D127" i="96"/>
  <c r="F127" i="96" s="1"/>
  <c r="D127" i="140"/>
  <c r="F127" i="140" s="1"/>
  <c r="D127" i="135"/>
  <c r="F127" i="135" s="1"/>
  <c r="D127" i="99"/>
  <c r="F127" i="99" s="1"/>
  <c r="D127" i="139"/>
  <c r="F127" i="139" s="1"/>
  <c r="D127" i="119"/>
  <c r="F127" i="119" s="1"/>
  <c r="D127" i="124"/>
  <c r="F127" i="124" s="1"/>
  <c r="D127" i="134"/>
  <c r="F127" i="134" s="1"/>
  <c r="D127" i="132"/>
  <c r="F127" i="132" s="1"/>
  <c r="D127" i="123"/>
  <c r="F127" i="123" s="1"/>
  <c r="D127" i="116"/>
  <c r="F127" i="116" s="1"/>
  <c r="D127" i="138"/>
  <c r="F127" i="138" s="1"/>
  <c r="D127" i="120"/>
  <c r="F127" i="120" s="1"/>
  <c r="J116" i="136"/>
  <c r="EZ27" i="94" s="1"/>
  <c r="L6" i="128"/>
  <c r="D106" i="86"/>
  <c r="F106" i="86" s="1"/>
  <c r="D106" i="117"/>
  <c r="F106" i="117" s="1"/>
  <c r="D106" i="116"/>
  <c r="F106" i="116" s="1"/>
  <c r="D106" i="97"/>
  <c r="F106" i="97" s="1"/>
  <c r="D106" i="95"/>
  <c r="F106" i="95" s="1"/>
  <c r="D106" i="98"/>
  <c r="F106" i="98" s="1"/>
  <c r="D106" i="124"/>
  <c r="F106" i="124" s="1"/>
  <c r="D106" i="113"/>
  <c r="F106" i="113" s="1"/>
  <c r="D106" i="91"/>
  <c r="F106" i="91" s="1"/>
  <c r="D106" i="118"/>
  <c r="F106" i="118" s="1"/>
  <c r="D106" i="99"/>
  <c r="F106" i="99" s="1"/>
  <c r="J117" i="99" s="1"/>
  <c r="FW6" i="94" s="1"/>
  <c r="D106" i="96"/>
  <c r="F106" i="96" s="1"/>
  <c r="D106" i="123"/>
  <c r="F106" i="123" s="1"/>
  <c r="J117" i="123" s="1"/>
  <c r="FP7" i="94" s="1"/>
  <c r="D106" i="132"/>
  <c r="F106" i="132" s="1"/>
  <c r="D106" i="119"/>
  <c r="F106" i="119" s="1"/>
  <c r="D106" i="120"/>
  <c r="F106" i="120" s="1"/>
  <c r="D106" i="133"/>
  <c r="F106" i="133" s="1"/>
  <c r="J117" i="133" s="1"/>
  <c r="D106" i="138"/>
  <c r="F106" i="138" s="1"/>
  <c r="D106" i="137"/>
  <c r="F106" i="137" s="1"/>
  <c r="D106" i="136"/>
  <c r="F106" i="136" s="1"/>
  <c r="D106" i="135"/>
  <c r="F106" i="135" s="1"/>
  <c r="D106" i="134"/>
  <c r="F106" i="134" s="1"/>
  <c r="D106" i="140"/>
  <c r="F106" i="140" s="1"/>
  <c r="J117" i="140" s="1"/>
  <c r="GF6" i="94" s="1"/>
  <c r="D106" i="139"/>
  <c r="F106" i="139" s="1"/>
  <c r="S39" i="128"/>
  <c r="L47" i="128"/>
  <c r="EL14" i="94" l="1"/>
  <c r="EL23" i="94"/>
  <c r="EL5" i="94"/>
  <c r="FJ23" i="94"/>
  <c r="FJ5" i="94"/>
  <c r="FJ14" i="94"/>
  <c r="I74" i="86"/>
  <c r="I74" i="132"/>
  <c r="I74" i="134"/>
  <c r="I74" i="135"/>
  <c r="I74" i="98"/>
  <c r="I74" i="140"/>
  <c r="I74" i="137"/>
  <c r="I74" i="96"/>
  <c r="I74" i="133"/>
  <c r="I74" i="138"/>
  <c r="I74" i="139"/>
  <c r="I75" i="135"/>
  <c r="I75" i="97"/>
  <c r="I75" i="137"/>
  <c r="I75" i="95"/>
  <c r="I75" i="134"/>
  <c r="I75" i="132"/>
  <c r="I75" i="133"/>
  <c r="I75" i="98"/>
  <c r="I75" i="99"/>
  <c r="I75" i="116"/>
  <c r="I75" i="123"/>
  <c r="I75" i="119"/>
  <c r="I75" i="136"/>
  <c r="I75" i="117"/>
  <c r="I75" i="139"/>
  <c r="I75" i="113"/>
  <c r="I75" i="86"/>
  <c r="I75" i="140"/>
  <c r="I75" i="96"/>
  <c r="I75" i="138"/>
  <c r="I75" i="120"/>
  <c r="I75" i="124"/>
  <c r="I75" i="118"/>
  <c r="I75" i="91"/>
  <c r="I72" i="123"/>
  <c r="I72" i="117"/>
  <c r="I72" i="137"/>
  <c r="I72" i="140"/>
  <c r="I72" i="118"/>
  <c r="I72" i="99"/>
  <c r="I72" i="120"/>
  <c r="I72" i="113"/>
  <c r="I72" i="133"/>
  <c r="I72" i="116"/>
  <c r="I72" i="91"/>
  <c r="I72" i="135"/>
  <c r="I72" i="139"/>
  <c r="I72" i="86"/>
  <c r="I72" i="136"/>
  <c r="I72" i="138"/>
  <c r="I72" i="97"/>
  <c r="I72" i="95"/>
  <c r="I72" i="119"/>
  <c r="I72" i="96"/>
  <c r="I72" i="98"/>
  <c r="I72" i="124"/>
  <c r="I72" i="132"/>
  <c r="I72" i="134"/>
  <c r="I74" i="116"/>
  <c r="I74" i="117"/>
  <c r="I74" i="91"/>
  <c r="I74" i="99"/>
  <c r="I74" i="124"/>
  <c r="I74" i="97"/>
  <c r="FC7" i="94"/>
  <c r="FC5" i="94"/>
  <c r="I76" i="123"/>
  <c r="I76" i="134"/>
  <c r="I76" i="124"/>
  <c r="I76" i="132"/>
  <c r="I76" i="119"/>
  <c r="I76" i="113"/>
  <c r="I76" i="138"/>
  <c r="I76" i="95"/>
  <c r="I76" i="118"/>
  <c r="I76" i="96"/>
  <c r="I76" i="98"/>
  <c r="I76" i="117"/>
  <c r="I76" i="86"/>
  <c r="I76" i="91"/>
  <c r="I76" i="120"/>
  <c r="I76" i="140"/>
  <c r="I76" i="135"/>
  <c r="I76" i="136"/>
  <c r="I76" i="99"/>
  <c r="I76" i="133"/>
  <c r="I76" i="137"/>
  <c r="I76" i="139"/>
  <c r="I76" i="97"/>
  <c r="I76" i="116"/>
  <c r="I73" i="98"/>
  <c r="I73" i="138"/>
  <c r="I73" i="119"/>
  <c r="I73" i="99"/>
  <c r="I73" i="123"/>
  <c r="I73" i="116"/>
  <c r="I73" i="132"/>
  <c r="I73" i="133"/>
  <c r="I73" i="113"/>
  <c r="I73" i="97"/>
  <c r="I73" i="136"/>
  <c r="I73" i="120"/>
  <c r="I73" i="124"/>
  <c r="I73" i="118"/>
  <c r="I73" i="91"/>
  <c r="I73" i="137"/>
  <c r="I73" i="95"/>
  <c r="I73" i="139"/>
  <c r="I73" i="140"/>
  <c r="I73" i="134"/>
  <c r="I73" i="117"/>
  <c r="I73" i="86"/>
  <c r="I73" i="96"/>
  <c r="I73" i="135"/>
  <c r="FB6" i="94"/>
  <c r="FB7" i="94"/>
  <c r="FE14" i="94"/>
  <c r="FE6" i="94"/>
  <c r="I74" i="95"/>
  <c r="I74" i="123"/>
  <c r="I121" i="118"/>
  <c r="I121" i="123"/>
  <c r="I121" i="133"/>
  <c r="I121" i="96"/>
  <c r="I121" i="140"/>
  <c r="I121" i="116"/>
  <c r="I121" i="137"/>
  <c r="I121" i="120"/>
  <c r="I121" i="117"/>
  <c r="I121" i="98"/>
  <c r="I121" i="138"/>
  <c r="I121" i="97"/>
  <c r="I121" i="91"/>
  <c r="I121" i="119"/>
  <c r="I121" i="132"/>
  <c r="I121" i="135"/>
  <c r="I121" i="139"/>
  <c r="I121" i="99"/>
  <c r="I121" i="136"/>
  <c r="I121" i="134"/>
  <c r="I121" i="113"/>
  <c r="I121" i="86"/>
  <c r="I121" i="95"/>
  <c r="I121" i="124"/>
  <c r="I100" i="86"/>
  <c r="U49" i="128"/>
  <c r="I122" i="133" s="1"/>
  <c r="U54" i="128"/>
  <c r="I127" i="133" s="1"/>
  <c r="GF17" i="94"/>
  <c r="GF8" i="94"/>
  <c r="FH17" i="94"/>
  <c r="FH8" i="94"/>
  <c r="FG16" i="94"/>
  <c r="FG7" i="94"/>
  <c r="FF15" i="94"/>
  <c r="FF6" i="94"/>
  <c r="FA8" i="94"/>
  <c r="FA5" i="94"/>
  <c r="I100" i="96"/>
  <c r="I100" i="136"/>
  <c r="I100" i="95"/>
  <c r="I100" i="123"/>
  <c r="I100" i="119"/>
  <c r="I100" i="124"/>
  <c r="I100" i="97"/>
  <c r="I99" i="136"/>
  <c r="I99" i="99"/>
  <c r="I99" i="113"/>
  <c r="I100" i="116"/>
  <c r="I100" i="98"/>
  <c r="I100" i="138"/>
  <c r="I100" i="139"/>
  <c r="I100" i="132"/>
  <c r="I100" i="113"/>
  <c r="I100" i="117"/>
  <c r="I100" i="140"/>
  <c r="I100" i="135"/>
  <c r="I100" i="120"/>
  <c r="I100" i="99"/>
  <c r="I100" i="137"/>
  <c r="I100" i="133"/>
  <c r="I100" i="134"/>
  <c r="I100" i="118"/>
  <c r="I99" i="91"/>
  <c r="I99" i="132"/>
  <c r="I99" i="139"/>
  <c r="I99" i="116"/>
  <c r="I99" i="118"/>
  <c r="I99" i="119"/>
  <c r="I99" i="86"/>
  <c r="I99" i="95"/>
  <c r="I99" i="120"/>
  <c r="I99" i="134"/>
  <c r="I99" i="98"/>
  <c r="I99" i="140"/>
  <c r="I99" i="135"/>
  <c r="I99" i="96"/>
  <c r="I99" i="138"/>
  <c r="I99" i="124"/>
  <c r="I99" i="137"/>
  <c r="I99" i="123"/>
  <c r="I99" i="133"/>
  <c r="I99" i="117"/>
  <c r="D92" i="119"/>
  <c r="F92" i="119" s="1"/>
  <c r="D92" i="139"/>
  <c r="F92" i="139" s="1"/>
  <c r="D92" i="133"/>
  <c r="F92" i="133" s="1"/>
  <c r="H127" i="133"/>
  <c r="H127" i="124"/>
  <c r="L117" i="132"/>
  <c r="H127" i="91"/>
  <c r="H127" i="119"/>
  <c r="H127" i="116"/>
  <c r="H127" i="138"/>
  <c r="H127" i="99"/>
  <c r="H127" i="123"/>
  <c r="H127" i="97"/>
  <c r="H127" i="113"/>
  <c r="H127" i="95"/>
  <c r="H127" i="137"/>
  <c r="H127" i="96"/>
  <c r="H127" i="140"/>
  <c r="H127" i="117"/>
  <c r="H127" i="98"/>
  <c r="H127" i="136"/>
  <c r="H127" i="118"/>
  <c r="H127" i="132"/>
  <c r="H127" i="120"/>
  <c r="H127" i="139"/>
  <c r="H127" i="135"/>
  <c r="H127" i="86"/>
  <c r="H121" i="91"/>
  <c r="H121" i="136"/>
  <c r="H121" i="98"/>
  <c r="H121" i="124"/>
  <c r="H121" i="97"/>
  <c r="H121" i="132"/>
  <c r="H121" i="135"/>
  <c r="H121" i="123"/>
  <c r="H121" i="86"/>
  <c r="H121" i="99"/>
  <c r="H121" i="139"/>
  <c r="H121" i="138"/>
  <c r="H121" i="120"/>
  <c r="H121" i="140"/>
  <c r="H121" i="133"/>
  <c r="H121" i="118"/>
  <c r="H121" i="113"/>
  <c r="H121" i="119"/>
  <c r="H121" i="116"/>
  <c r="H121" i="134"/>
  <c r="H121" i="95"/>
  <c r="H121" i="96"/>
  <c r="H121" i="137"/>
  <c r="H121" i="117"/>
  <c r="D92" i="98"/>
  <c r="F92" i="98" s="1"/>
  <c r="I87" i="119"/>
  <c r="I87" i="113"/>
  <c r="I87" i="99"/>
  <c r="I87" i="97"/>
  <c r="I87" i="123"/>
  <c r="I87" i="138"/>
  <c r="I87" i="140"/>
  <c r="I87" i="120"/>
  <c r="I87" i="118"/>
  <c r="I87" i="136"/>
  <c r="I87" i="139"/>
  <c r="I87" i="117"/>
  <c r="I87" i="137"/>
  <c r="I87" i="96"/>
  <c r="I87" i="98"/>
  <c r="I87" i="91"/>
  <c r="I87" i="95"/>
  <c r="I87" i="116"/>
  <c r="I87" i="132"/>
  <c r="I87" i="133"/>
  <c r="I87" i="124"/>
  <c r="I87" i="135"/>
  <c r="I87" i="134"/>
  <c r="I87" i="86"/>
  <c r="I78" i="120"/>
  <c r="I78" i="118"/>
  <c r="I78" i="136"/>
  <c r="I78" i="139"/>
  <c r="I78" i="117"/>
  <c r="I78" i="137"/>
  <c r="I78" i="96"/>
  <c r="I78" i="98"/>
  <c r="I78" i="119"/>
  <c r="I78" i="113"/>
  <c r="I78" i="99"/>
  <c r="I78" i="97"/>
  <c r="I78" i="123"/>
  <c r="I78" i="138"/>
  <c r="I78" i="140"/>
  <c r="I78" i="124"/>
  <c r="I78" i="135"/>
  <c r="I78" i="134"/>
  <c r="I78" i="86"/>
  <c r="I78" i="133"/>
  <c r="I78" i="91"/>
  <c r="I78" i="95"/>
  <c r="I78" i="116"/>
  <c r="I78" i="132"/>
  <c r="I94" i="119"/>
  <c r="I94" i="113"/>
  <c r="I94" i="99"/>
  <c r="I94" i="97"/>
  <c r="I94" i="123"/>
  <c r="I94" i="138"/>
  <c r="I94" i="140"/>
  <c r="I94" i="120"/>
  <c r="I94" i="118"/>
  <c r="I94" i="136"/>
  <c r="I94" i="139"/>
  <c r="I94" i="117"/>
  <c r="I94" i="137"/>
  <c r="I94" i="91"/>
  <c r="I94" i="95"/>
  <c r="I94" i="116"/>
  <c r="I94" i="132"/>
  <c r="I94" i="133"/>
  <c r="I94" i="98"/>
  <c r="I94" i="124"/>
  <c r="I94" i="135"/>
  <c r="I94" i="134"/>
  <c r="I94" i="86"/>
  <c r="I94" i="96"/>
  <c r="I81" i="119"/>
  <c r="I81" i="113"/>
  <c r="I81" i="99"/>
  <c r="I81" i="97"/>
  <c r="I81" i="123"/>
  <c r="I81" i="138"/>
  <c r="I81" i="140"/>
  <c r="I81" i="120"/>
  <c r="I81" i="118"/>
  <c r="I81" i="136"/>
  <c r="I81" i="139"/>
  <c r="I81" i="117"/>
  <c r="I81" i="137"/>
  <c r="I81" i="96"/>
  <c r="I81" i="98"/>
  <c r="I81" i="133"/>
  <c r="I81" i="91"/>
  <c r="I81" i="95"/>
  <c r="I81" i="116"/>
  <c r="I81" i="132"/>
  <c r="I81" i="124"/>
  <c r="I81" i="135"/>
  <c r="I81" i="134"/>
  <c r="I81" i="86"/>
  <c r="I97" i="120"/>
  <c r="I97" i="118"/>
  <c r="I97" i="136"/>
  <c r="I97" i="139"/>
  <c r="I97" i="117"/>
  <c r="I97" i="137"/>
  <c r="I97" i="96"/>
  <c r="I97" i="98"/>
  <c r="I97" i="119"/>
  <c r="I97" i="113"/>
  <c r="I97" i="99"/>
  <c r="I97" i="97"/>
  <c r="I97" i="123"/>
  <c r="I97" i="138"/>
  <c r="I97" i="140"/>
  <c r="I97" i="124"/>
  <c r="I97" i="135"/>
  <c r="I97" i="134"/>
  <c r="I97" i="86"/>
  <c r="I97" i="95"/>
  <c r="I97" i="116"/>
  <c r="I97" i="132"/>
  <c r="I97" i="91"/>
  <c r="I97" i="133"/>
  <c r="I103" i="120"/>
  <c r="I103" i="118"/>
  <c r="I103" i="136"/>
  <c r="I103" i="139"/>
  <c r="I103" i="117"/>
  <c r="I103" i="137"/>
  <c r="I103" i="96"/>
  <c r="I103" i="98"/>
  <c r="I103" i="119"/>
  <c r="I103" i="113"/>
  <c r="I103" i="99"/>
  <c r="I103" i="97"/>
  <c r="I103" i="123"/>
  <c r="I103" i="138"/>
  <c r="I103" i="140"/>
  <c r="I103" i="91"/>
  <c r="I103" i="124"/>
  <c r="I103" i="135"/>
  <c r="I103" i="134"/>
  <c r="I103" i="86"/>
  <c r="I103" i="133"/>
  <c r="I103" i="95"/>
  <c r="I103" i="116"/>
  <c r="I103" i="132"/>
  <c r="I96" i="120"/>
  <c r="I96" i="118"/>
  <c r="I96" i="136"/>
  <c r="I96" i="139"/>
  <c r="I96" i="117"/>
  <c r="I96" i="137"/>
  <c r="I96" i="96"/>
  <c r="I96" i="98"/>
  <c r="I96" i="119"/>
  <c r="I96" i="113"/>
  <c r="I96" i="99"/>
  <c r="I96" i="97"/>
  <c r="I96" i="123"/>
  <c r="I96" i="138"/>
  <c r="I96" i="140"/>
  <c r="I96" i="124"/>
  <c r="I96" i="135"/>
  <c r="I96" i="134"/>
  <c r="I96" i="86"/>
  <c r="I96" i="91"/>
  <c r="I96" i="95"/>
  <c r="I96" i="116"/>
  <c r="I96" i="132"/>
  <c r="I96" i="133"/>
  <c r="I82" i="119"/>
  <c r="I82" i="113"/>
  <c r="I82" i="99"/>
  <c r="I82" i="97"/>
  <c r="I82" i="123"/>
  <c r="I82" i="138"/>
  <c r="I82" i="140"/>
  <c r="I82" i="120"/>
  <c r="I82" i="118"/>
  <c r="I82" i="136"/>
  <c r="I82" i="139"/>
  <c r="I82" i="117"/>
  <c r="I82" i="137"/>
  <c r="I82" i="91"/>
  <c r="I82" i="95"/>
  <c r="I82" i="116"/>
  <c r="I82" i="132"/>
  <c r="I82" i="133"/>
  <c r="I82" i="96"/>
  <c r="I82" i="98"/>
  <c r="I82" i="124"/>
  <c r="I82" i="135"/>
  <c r="I82" i="134"/>
  <c r="I82" i="86"/>
  <c r="I84" i="120"/>
  <c r="I84" i="118"/>
  <c r="I84" i="136"/>
  <c r="I84" i="139"/>
  <c r="I84" i="117"/>
  <c r="I84" i="137"/>
  <c r="I84" i="96"/>
  <c r="I84" i="98"/>
  <c r="I84" i="119"/>
  <c r="I84" i="113"/>
  <c r="I84" i="99"/>
  <c r="I84" i="97"/>
  <c r="I84" i="123"/>
  <c r="I84" i="138"/>
  <c r="I84" i="140"/>
  <c r="I84" i="124"/>
  <c r="I84" i="135"/>
  <c r="I84" i="134"/>
  <c r="I84" i="86"/>
  <c r="I84" i="91"/>
  <c r="I84" i="95"/>
  <c r="I84" i="116"/>
  <c r="I84" i="132"/>
  <c r="I84" i="133"/>
  <c r="I88" i="119"/>
  <c r="I88" i="113"/>
  <c r="I88" i="99"/>
  <c r="I88" i="97"/>
  <c r="I88" i="123"/>
  <c r="I88" i="138"/>
  <c r="I88" i="140"/>
  <c r="I88" i="120"/>
  <c r="I88" i="118"/>
  <c r="I88" i="136"/>
  <c r="I88" i="139"/>
  <c r="I88" i="117"/>
  <c r="I88" i="137"/>
  <c r="I88" i="96"/>
  <c r="I88" i="91"/>
  <c r="I88" i="95"/>
  <c r="I88" i="116"/>
  <c r="I88" i="132"/>
  <c r="I88" i="98"/>
  <c r="I88" i="124"/>
  <c r="I88" i="135"/>
  <c r="I88" i="134"/>
  <c r="I88" i="86"/>
  <c r="I88" i="133"/>
  <c r="EY6" i="94"/>
  <c r="I102" i="119"/>
  <c r="I102" i="113"/>
  <c r="I102" i="99"/>
  <c r="I102" i="97"/>
  <c r="I102" i="123"/>
  <c r="I102" i="138"/>
  <c r="I102" i="140"/>
  <c r="I102" i="91"/>
  <c r="I102" i="120"/>
  <c r="I102" i="118"/>
  <c r="I102" i="136"/>
  <c r="I102" i="139"/>
  <c r="I102" i="117"/>
  <c r="I102" i="137"/>
  <c r="I102" i="96"/>
  <c r="I102" i="98"/>
  <c r="I102" i="124"/>
  <c r="I102" i="135"/>
  <c r="I102" i="134"/>
  <c r="I102" i="86"/>
  <c r="I102" i="133"/>
  <c r="I102" i="95"/>
  <c r="I102" i="116"/>
  <c r="I102" i="132"/>
  <c r="I91" i="120"/>
  <c r="I91" i="118"/>
  <c r="I91" i="136"/>
  <c r="I91" i="139"/>
  <c r="I91" i="117"/>
  <c r="I91" i="137"/>
  <c r="I91" i="96"/>
  <c r="I91" i="98"/>
  <c r="I91" i="119"/>
  <c r="I91" i="113"/>
  <c r="I91" i="99"/>
  <c r="I91" i="97"/>
  <c r="I91" i="123"/>
  <c r="I91" i="124"/>
  <c r="I91" i="135"/>
  <c r="I91" i="134"/>
  <c r="I91" i="86"/>
  <c r="I91" i="140"/>
  <c r="I91" i="133"/>
  <c r="I91" i="91"/>
  <c r="I91" i="95"/>
  <c r="I91" i="116"/>
  <c r="I91" i="132"/>
  <c r="I91" i="138"/>
  <c r="S59" i="128"/>
  <c r="H106" i="119"/>
  <c r="H106" i="113"/>
  <c r="H106" i="99"/>
  <c r="H106" i="97"/>
  <c r="H106" i="123"/>
  <c r="H106" i="138"/>
  <c r="H106" i="140"/>
  <c r="H106" i="91"/>
  <c r="H106" i="120"/>
  <c r="H106" i="118"/>
  <c r="H106" i="136"/>
  <c r="H106" i="139"/>
  <c r="H106" i="117"/>
  <c r="H106" i="137"/>
  <c r="H106" i="96"/>
  <c r="H106" i="98"/>
  <c r="H106" i="95"/>
  <c r="H106" i="116"/>
  <c r="H106" i="132"/>
  <c r="H106" i="133"/>
  <c r="H106" i="124"/>
  <c r="H106" i="135"/>
  <c r="H106" i="134"/>
  <c r="H106" i="86"/>
  <c r="R59" i="128"/>
  <c r="H105" i="120"/>
  <c r="H105" i="118"/>
  <c r="H105" i="136"/>
  <c r="H105" i="139"/>
  <c r="H105" i="117"/>
  <c r="H105" i="137"/>
  <c r="H105" i="96"/>
  <c r="H105" i="98"/>
  <c r="H105" i="119"/>
  <c r="H105" i="113"/>
  <c r="H105" i="99"/>
  <c r="H105" i="97"/>
  <c r="H105" i="123"/>
  <c r="H105" i="138"/>
  <c r="H105" i="124"/>
  <c r="H105" i="135"/>
  <c r="H105" i="134"/>
  <c r="H105" i="86"/>
  <c r="H105" i="91"/>
  <c r="H105" i="95"/>
  <c r="H105" i="116"/>
  <c r="H105" i="132"/>
  <c r="H105" i="133"/>
  <c r="H105" i="140"/>
  <c r="I85" i="120"/>
  <c r="I85" i="118"/>
  <c r="I85" i="136"/>
  <c r="I85" i="139"/>
  <c r="I85" i="117"/>
  <c r="I85" i="137"/>
  <c r="I85" i="96"/>
  <c r="I85" i="98"/>
  <c r="I85" i="119"/>
  <c r="I85" i="113"/>
  <c r="I85" i="99"/>
  <c r="I85" i="97"/>
  <c r="I85" i="123"/>
  <c r="I85" i="138"/>
  <c r="I85" i="124"/>
  <c r="I85" i="135"/>
  <c r="I85" i="134"/>
  <c r="I85" i="86"/>
  <c r="I85" i="140"/>
  <c r="I85" i="91"/>
  <c r="I85" i="95"/>
  <c r="I85" i="116"/>
  <c r="I85" i="132"/>
  <c r="I85" i="133"/>
  <c r="I93" i="119"/>
  <c r="I93" i="113"/>
  <c r="I93" i="99"/>
  <c r="I93" i="97"/>
  <c r="I93" i="123"/>
  <c r="I93" i="138"/>
  <c r="I93" i="140"/>
  <c r="I93" i="120"/>
  <c r="I93" i="118"/>
  <c r="I93" i="136"/>
  <c r="I93" i="139"/>
  <c r="I93" i="117"/>
  <c r="I93" i="137"/>
  <c r="I93" i="96"/>
  <c r="I93" i="98"/>
  <c r="I93" i="133"/>
  <c r="I93" i="91"/>
  <c r="I93" i="95"/>
  <c r="I93" i="116"/>
  <c r="I93" i="132"/>
  <c r="I93" i="124"/>
  <c r="I93" i="135"/>
  <c r="I93" i="134"/>
  <c r="I93" i="86"/>
  <c r="I90" i="120"/>
  <c r="I90" i="118"/>
  <c r="I90" i="136"/>
  <c r="I90" i="139"/>
  <c r="I90" i="117"/>
  <c r="I90" i="137"/>
  <c r="I90" i="96"/>
  <c r="I90" i="98"/>
  <c r="I90" i="119"/>
  <c r="I90" i="113"/>
  <c r="I90" i="99"/>
  <c r="I90" i="97"/>
  <c r="I90" i="123"/>
  <c r="I90" i="138"/>
  <c r="I90" i="140"/>
  <c r="I90" i="124"/>
  <c r="I90" i="135"/>
  <c r="I90" i="134"/>
  <c r="I90" i="86"/>
  <c r="I90" i="133"/>
  <c r="I90" i="91"/>
  <c r="I90" i="95"/>
  <c r="I90" i="116"/>
  <c r="I90" i="132"/>
  <c r="D92" i="91"/>
  <c r="F92" i="91" s="1"/>
  <c r="D92" i="99"/>
  <c r="F92" i="99" s="1"/>
  <c r="D92" i="140"/>
  <c r="F92" i="140" s="1"/>
  <c r="D92" i="97"/>
  <c r="F92" i="97" s="1"/>
  <c r="D92" i="95"/>
  <c r="F92" i="95" s="1"/>
  <c r="D92" i="136"/>
  <c r="F92" i="136" s="1"/>
  <c r="D92" i="132"/>
  <c r="F92" i="132" s="1"/>
  <c r="D92" i="86"/>
  <c r="F92" i="86" s="1"/>
  <c r="D92" i="118"/>
  <c r="F92" i="118" s="1"/>
  <c r="D92" i="120"/>
  <c r="F92" i="120" s="1"/>
  <c r="D92" i="96"/>
  <c r="F92" i="96" s="1"/>
  <c r="D92" i="138"/>
  <c r="F92" i="138" s="1"/>
  <c r="D92" i="117"/>
  <c r="F92" i="117" s="1"/>
  <c r="D92" i="137"/>
  <c r="F92" i="137" s="1"/>
  <c r="D92" i="123"/>
  <c r="F92" i="123" s="1"/>
  <c r="D92" i="113"/>
  <c r="F92" i="113" s="1"/>
  <c r="D92" i="116"/>
  <c r="F92" i="116" s="1"/>
  <c r="D92" i="135"/>
  <c r="F92" i="135" s="1"/>
  <c r="D92" i="134"/>
  <c r="F92" i="134" s="1"/>
  <c r="T29" i="128"/>
  <c r="H77" i="133" s="1"/>
  <c r="T38" i="128"/>
  <c r="U8" i="128"/>
  <c r="D122" i="120" s="1"/>
  <c r="F122" i="120" s="1"/>
  <c r="U29" i="128"/>
  <c r="H122" i="137" s="1"/>
  <c r="U38" i="128"/>
  <c r="T39" i="128"/>
  <c r="T58" i="128"/>
  <c r="T49" i="128"/>
  <c r="T18" i="128"/>
  <c r="D104" i="113" s="1"/>
  <c r="F104" i="113" s="1"/>
  <c r="T8" i="128"/>
  <c r="D121" i="116"/>
  <c r="F121" i="116" s="1"/>
  <c r="D121" i="137"/>
  <c r="F121" i="137" s="1"/>
  <c r="D121" i="113"/>
  <c r="F121" i="113" s="1"/>
  <c r="D121" i="135"/>
  <c r="F121" i="135" s="1"/>
  <c r="D121" i="140"/>
  <c r="F121" i="140" s="1"/>
  <c r="D121" i="134"/>
  <c r="F121" i="134" s="1"/>
  <c r="D121" i="97"/>
  <c r="F121" i="97" s="1"/>
  <c r="D121" i="99"/>
  <c r="F121" i="99" s="1"/>
  <c r="D121" i="119"/>
  <c r="F121" i="119" s="1"/>
  <c r="D121" i="138"/>
  <c r="F121" i="138" s="1"/>
  <c r="D121" i="86"/>
  <c r="F121" i="86" s="1"/>
  <c r="D121" i="124"/>
  <c r="F121" i="124" s="1"/>
  <c r="D121" i="118"/>
  <c r="F121" i="118" s="1"/>
  <c r="D121" i="139"/>
  <c r="F121" i="139" s="1"/>
  <c r="D121" i="120"/>
  <c r="F121" i="120" s="1"/>
  <c r="D121" i="95"/>
  <c r="F121" i="95" s="1"/>
  <c r="D121" i="117"/>
  <c r="F121" i="117" s="1"/>
  <c r="D121" i="136"/>
  <c r="F121" i="136" s="1"/>
  <c r="D121" i="123"/>
  <c r="F121" i="123" s="1"/>
  <c r="D121" i="91"/>
  <c r="F121" i="91" s="1"/>
  <c r="D121" i="96"/>
  <c r="F121" i="96" s="1"/>
  <c r="D121" i="133"/>
  <c r="F121" i="133" s="1"/>
  <c r="D121" i="98"/>
  <c r="F121" i="98" s="1"/>
  <c r="D121" i="132"/>
  <c r="F121" i="132" s="1"/>
  <c r="D74" i="124"/>
  <c r="F74" i="124" s="1"/>
  <c r="D74" i="120"/>
  <c r="F74" i="120" s="1"/>
  <c r="D74" i="136"/>
  <c r="F74" i="136" s="1"/>
  <c r="D74" i="96"/>
  <c r="F74" i="96" s="1"/>
  <c r="D74" i="117"/>
  <c r="F74" i="117" s="1"/>
  <c r="D74" i="140"/>
  <c r="F74" i="140" s="1"/>
  <c r="D74" i="134"/>
  <c r="F74" i="134" s="1"/>
  <c r="D74" i="116"/>
  <c r="F74" i="116" s="1"/>
  <c r="D74" i="113"/>
  <c r="F74" i="113" s="1"/>
  <c r="D74" i="132"/>
  <c r="F74" i="132" s="1"/>
  <c r="D74" i="118"/>
  <c r="F74" i="118" s="1"/>
  <c r="D74" i="91"/>
  <c r="F74" i="91" s="1"/>
  <c r="D74" i="97"/>
  <c r="F74" i="97" s="1"/>
  <c r="D74" i="98"/>
  <c r="F74" i="98" s="1"/>
  <c r="D74" i="135"/>
  <c r="F74" i="135" s="1"/>
  <c r="D74" i="99"/>
  <c r="F74" i="99" s="1"/>
  <c r="D74" i="138"/>
  <c r="F74" i="138" s="1"/>
  <c r="D74" i="119"/>
  <c r="F74" i="119" s="1"/>
  <c r="D74" i="86"/>
  <c r="F74" i="86" s="1"/>
  <c r="D74" i="137"/>
  <c r="F74" i="137" s="1"/>
  <c r="D74" i="95"/>
  <c r="F74" i="95" s="1"/>
  <c r="D74" i="139"/>
  <c r="F74" i="139" s="1"/>
  <c r="D74" i="123"/>
  <c r="F74" i="123" s="1"/>
  <c r="D74" i="133"/>
  <c r="F74" i="133" s="1"/>
  <c r="EZ6" i="94"/>
  <c r="EZ26" i="94"/>
  <c r="EZ16" i="94"/>
  <c r="J117" i="116"/>
  <c r="J117" i="136"/>
  <c r="FX27" i="94" s="1"/>
  <c r="J117" i="117"/>
  <c r="GB8" i="94" s="1"/>
  <c r="FW26" i="94"/>
  <c r="FW16" i="94"/>
  <c r="L116" i="133"/>
  <c r="J117" i="97"/>
  <c r="J117" i="132"/>
  <c r="FU24" i="94" s="1"/>
  <c r="J117" i="98"/>
  <c r="J117" i="135"/>
  <c r="J117" i="118"/>
  <c r="J117" i="96"/>
  <c r="FO26" i="94" s="1"/>
  <c r="J117" i="137"/>
  <c r="L117" i="133"/>
  <c r="J117" i="91"/>
  <c r="L117" i="86"/>
  <c r="J117" i="138"/>
  <c r="T15" i="128"/>
  <c r="J117" i="134"/>
  <c r="J117" i="139"/>
  <c r="J117" i="120"/>
  <c r="FT25" i="94" s="1"/>
  <c r="L117" i="134"/>
  <c r="EY26" i="94"/>
  <c r="EY16" i="94"/>
  <c r="U18" i="128"/>
  <c r="U15" i="128"/>
  <c r="J117" i="86"/>
  <c r="FV25" i="94" s="1"/>
  <c r="J117" i="124"/>
  <c r="J117" i="95"/>
  <c r="FN15" i="94" s="1"/>
  <c r="J117" i="119"/>
  <c r="FS24" i="94" s="1"/>
  <c r="J117" i="113"/>
  <c r="U59" i="128"/>
  <c r="U58" i="128"/>
  <c r="T59" i="128"/>
  <c r="I122" i="140" l="1"/>
  <c r="I122" i="132"/>
  <c r="I122" i="135"/>
  <c r="GA7" i="94"/>
  <c r="GA5" i="94"/>
  <c r="I122" i="86"/>
  <c r="I122" i="138"/>
  <c r="I122" i="139"/>
  <c r="I122" i="95"/>
  <c r="I122" i="134"/>
  <c r="I122" i="117"/>
  <c r="I122" i="136"/>
  <c r="I122" i="118"/>
  <c r="I122" i="123"/>
  <c r="I122" i="124"/>
  <c r="I122" i="98"/>
  <c r="I122" i="96"/>
  <c r="I122" i="119"/>
  <c r="I122" i="120"/>
  <c r="I122" i="99"/>
  <c r="I122" i="113"/>
  <c r="I122" i="116"/>
  <c r="I122" i="91"/>
  <c r="I122" i="137"/>
  <c r="I122" i="97"/>
  <c r="FZ6" i="94"/>
  <c r="FZ7" i="94"/>
  <c r="GC14" i="94"/>
  <c r="GC6" i="94"/>
  <c r="I127" i="97"/>
  <c r="I127" i="96"/>
  <c r="I127" i="119"/>
  <c r="I127" i="134"/>
  <c r="I127" i="117"/>
  <c r="I127" i="139"/>
  <c r="I127" i="118"/>
  <c r="I127" i="137"/>
  <c r="I127" i="98"/>
  <c r="I127" i="132"/>
  <c r="I127" i="140"/>
  <c r="I127" i="113"/>
  <c r="I127" i="124"/>
  <c r="I127" i="120"/>
  <c r="I127" i="86"/>
  <c r="I127" i="136"/>
  <c r="I127" i="135"/>
  <c r="I127" i="95"/>
  <c r="I127" i="116"/>
  <c r="I127" i="123"/>
  <c r="I127" i="91"/>
  <c r="I127" i="99"/>
  <c r="I127" i="138"/>
  <c r="GE16" i="94"/>
  <c r="GE7" i="94"/>
  <c r="GD15" i="94"/>
  <c r="GD6" i="94"/>
  <c r="FY8" i="94"/>
  <c r="FY5" i="94"/>
  <c r="D104" i="138"/>
  <c r="F104" i="138" s="1"/>
  <c r="D104" i="86"/>
  <c r="F104" i="86" s="1"/>
  <c r="D104" i="133"/>
  <c r="F104" i="133" s="1"/>
  <c r="D104" i="99"/>
  <c r="F104" i="99" s="1"/>
  <c r="D122" i="97"/>
  <c r="F122" i="97" s="1"/>
  <c r="D122" i="132"/>
  <c r="F122" i="132" s="1"/>
  <c r="D122" i="136"/>
  <c r="F122" i="136" s="1"/>
  <c r="D122" i="99"/>
  <c r="F122" i="99" s="1"/>
  <c r="D122" i="117"/>
  <c r="F122" i="117" s="1"/>
  <c r="D122" i="139"/>
  <c r="F122" i="139" s="1"/>
  <c r="D104" i="132"/>
  <c r="F104" i="132" s="1"/>
  <c r="D104" i="120"/>
  <c r="F104" i="120" s="1"/>
  <c r="D122" i="91"/>
  <c r="F122" i="91" s="1"/>
  <c r="D104" i="116"/>
  <c r="F104" i="116" s="1"/>
  <c r="D122" i="133"/>
  <c r="F122" i="133" s="1"/>
  <c r="D104" i="96"/>
  <c r="F104" i="96" s="1"/>
  <c r="D104" i="117"/>
  <c r="F104" i="117" s="1"/>
  <c r="H122" i="98"/>
  <c r="H122" i="97"/>
  <c r="H122" i="119"/>
  <c r="H122" i="123"/>
  <c r="H122" i="134"/>
  <c r="H122" i="133"/>
  <c r="I105" i="120"/>
  <c r="I105" i="118"/>
  <c r="I105" i="136"/>
  <c r="I105" i="139"/>
  <c r="I105" i="117"/>
  <c r="I105" i="137"/>
  <c r="I105" i="96"/>
  <c r="I105" i="98"/>
  <c r="I105" i="119"/>
  <c r="I105" i="113"/>
  <c r="I105" i="99"/>
  <c r="I105" i="97"/>
  <c r="I105" i="123"/>
  <c r="I105" i="138"/>
  <c r="I105" i="140"/>
  <c r="I105" i="91"/>
  <c r="I105" i="133"/>
  <c r="I105" i="95"/>
  <c r="I105" i="116"/>
  <c r="I105" i="132"/>
  <c r="I105" i="124"/>
  <c r="I105" i="135"/>
  <c r="I105" i="134"/>
  <c r="I105" i="86"/>
  <c r="H122" i="120"/>
  <c r="H122" i="86"/>
  <c r="I106" i="119"/>
  <c r="I106" i="113"/>
  <c r="I106" i="99"/>
  <c r="I106" i="97"/>
  <c r="I106" i="123"/>
  <c r="I106" i="138"/>
  <c r="I106" i="140"/>
  <c r="I106" i="91"/>
  <c r="I106" i="120"/>
  <c r="I106" i="118"/>
  <c r="I106" i="136"/>
  <c r="I106" i="139"/>
  <c r="I106" i="117"/>
  <c r="I106" i="137"/>
  <c r="I106" i="96"/>
  <c r="I106" i="98"/>
  <c r="I106" i="95"/>
  <c r="I106" i="116"/>
  <c r="I106" i="132"/>
  <c r="I106" i="133"/>
  <c r="I106" i="124"/>
  <c r="I106" i="135"/>
  <c r="I106" i="134"/>
  <c r="I106" i="86"/>
  <c r="D104" i="98"/>
  <c r="F104" i="98" s="1"/>
  <c r="D104" i="136"/>
  <c r="F104" i="136" s="1"/>
  <c r="D104" i="118"/>
  <c r="F104" i="118" s="1"/>
  <c r="D104" i="97"/>
  <c r="F104" i="97" s="1"/>
  <c r="D122" i="95"/>
  <c r="F122" i="95" s="1"/>
  <c r="D122" i="86"/>
  <c r="F122" i="86" s="1"/>
  <c r="H122" i="139"/>
  <c r="H122" i="99"/>
  <c r="H122" i="132"/>
  <c r="H77" i="119"/>
  <c r="H77" i="113"/>
  <c r="H77" i="99"/>
  <c r="H77" i="97"/>
  <c r="H77" i="123"/>
  <c r="H77" i="138"/>
  <c r="H77" i="140"/>
  <c r="H77" i="120"/>
  <c r="H77" i="118"/>
  <c r="H77" i="136"/>
  <c r="H77" i="139"/>
  <c r="H77" i="117"/>
  <c r="H77" i="137"/>
  <c r="H77" i="91"/>
  <c r="H77" i="95"/>
  <c r="H77" i="116"/>
  <c r="H77" i="132"/>
  <c r="H77" i="96"/>
  <c r="H77" i="98"/>
  <c r="H77" i="124"/>
  <c r="H77" i="135"/>
  <c r="H77" i="134"/>
  <c r="H77" i="86"/>
  <c r="D104" i="137"/>
  <c r="F104" i="137" s="1"/>
  <c r="D104" i="123"/>
  <c r="F104" i="123" s="1"/>
  <c r="D104" i="91"/>
  <c r="F104" i="91" s="1"/>
  <c r="D122" i="116"/>
  <c r="F122" i="116" s="1"/>
  <c r="D122" i="135"/>
  <c r="F122" i="135" s="1"/>
  <c r="D122" i="113"/>
  <c r="F122" i="113" s="1"/>
  <c r="H122" i="124"/>
  <c r="H122" i="96"/>
  <c r="D104" i="124"/>
  <c r="F104" i="124" s="1"/>
  <c r="D104" i="140"/>
  <c r="F104" i="140" s="1"/>
  <c r="D104" i="135"/>
  <c r="F104" i="135" s="1"/>
  <c r="D104" i="95"/>
  <c r="F104" i="95" s="1"/>
  <c r="D122" i="138"/>
  <c r="F122" i="138" s="1"/>
  <c r="D122" i="96"/>
  <c r="F122" i="96" s="1"/>
  <c r="D122" i="98"/>
  <c r="F122" i="98" s="1"/>
  <c r="H122" i="136"/>
  <c r="H122" i="138"/>
  <c r="D104" i="134"/>
  <c r="F104" i="134" s="1"/>
  <c r="D104" i="139"/>
  <c r="F104" i="139" s="1"/>
  <c r="D104" i="119"/>
  <c r="F104" i="119" s="1"/>
  <c r="D122" i="118"/>
  <c r="F122" i="118" s="1"/>
  <c r="D122" i="137"/>
  <c r="F122" i="137" s="1"/>
  <c r="H122" i="117"/>
  <c r="H122" i="118"/>
  <c r="I107" i="116"/>
  <c r="I107" i="86"/>
  <c r="I107" i="120"/>
  <c r="I107" i="119"/>
  <c r="I107" i="118"/>
  <c r="I107" i="113"/>
  <c r="I107" i="136"/>
  <c r="I107" i="99"/>
  <c r="I107" i="139"/>
  <c r="I107" i="97"/>
  <c r="I107" i="117"/>
  <c r="I107" i="123"/>
  <c r="I107" i="137"/>
  <c r="I107" i="138"/>
  <c r="I107" i="96"/>
  <c r="I107" i="140"/>
  <c r="I107" i="98"/>
  <c r="I107" i="91"/>
  <c r="I107" i="124"/>
  <c r="I107" i="95"/>
  <c r="I107" i="135"/>
  <c r="I107" i="134"/>
  <c r="I107" i="132"/>
  <c r="I77" i="133"/>
  <c r="I77" i="120"/>
  <c r="I77" i="119"/>
  <c r="I77" i="118"/>
  <c r="I77" i="113"/>
  <c r="I77" i="136"/>
  <c r="I77" i="99"/>
  <c r="I77" i="139"/>
  <c r="I77" i="97"/>
  <c r="I77" i="117"/>
  <c r="I77" i="123"/>
  <c r="I77" i="137"/>
  <c r="I77" i="138"/>
  <c r="I77" i="96"/>
  <c r="I77" i="140"/>
  <c r="I77" i="98"/>
  <c r="I77" i="91"/>
  <c r="I77" i="124"/>
  <c r="I77" i="95"/>
  <c r="I77" i="135"/>
  <c r="I77" i="116"/>
  <c r="I77" i="134"/>
  <c r="I77" i="132"/>
  <c r="I77" i="86"/>
  <c r="I104" i="120"/>
  <c r="I104" i="119"/>
  <c r="I104" i="118"/>
  <c r="I104" i="113"/>
  <c r="I104" i="136"/>
  <c r="I104" i="99"/>
  <c r="I104" i="139"/>
  <c r="I104" i="97"/>
  <c r="I104" i="117"/>
  <c r="I104" i="123"/>
  <c r="I104" i="137"/>
  <c r="I104" i="138"/>
  <c r="I104" i="96"/>
  <c r="I104" i="140"/>
  <c r="I104" i="98"/>
  <c r="I104" i="91"/>
  <c r="I104" i="124"/>
  <c r="I104" i="95"/>
  <c r="I104" i="135"/>
  <c r="I104" i="116"/>
  <c r="I104" i="134"/>
  <c r="I104" i="132"/>
  <c r="I104" i="86"/>
  <c r="H104" i="118"/>
  <c r="H104" i="136"/>
  <c r="H104" i="117"/>
  <c r="H104" i="137"/>
  <c r="H104" i="96"/>
  <c r="H104" i="135"/>
  <c r="H104" i="86"/>
  <c r="H104" i="120"/>
  <c r="H104" i="139"/>
  <c r="H104" i="98"/>
  <c r="H104" i="124"/>
  <c r="H104" i="134"/>
  <c r="H104" i="119"/>
  <c r="H104" i="113"/>
  <c r="H104" i="97"/>
  <c r="H104" i="123"/>
  <c r="H104" i="138"/>
  <c r="H104" i="140"/>
  <c r="H104" i="116"/>
  <c r="H104" i="99"/>
  <c r="H104" i="91"/>
  <c r="H104" i="95"/>
  <c r="H104" i="132"/>
  <c r="H107" i="96"/>
  <c r="H107" i="98"/>
  <c r="H107" i="124"/>
  <c r="H107" i="86"/>
  <c r="H107" i="120"/>
  <c r="H107" i="118"/>
  <c r="H107" i="136"/>
  <c r="H107" i="139"/>
  <c r="H107" i="117"/>
  <c r="H107" i="137"/>
  <c r="H107" i="135"/>
  <c r="H107" i="134"/>
  <c r="H107" i="119"/>
  <c r="H107" i="123"/>
  <c r="H107" i="138"/>
  <c r="H107" i="140"/>
  <c r="H107" i="91"/>
  <c r="H107" i="95"/>
  <c r="H107" i="116"/>
  <c r="H107" i="132"/>
  <c r="H107" i="113"/>
  <c r="H107" i="99"/>
  <c r="H107" i="97"/>
  <c r="I104" i="133"/>
  <c r="D122" i="134"/>
  <c r="F122" i="134" s="1"/>
  <c r="D122" i="119"/>
  <c r="F122" i="119" s="1"/>
  <c r="D122" i="124"/>
  <c r="F122" i="124" s="1"/>
  <c r="D122" i="140"/>
  <c r="F122" i="140" s="1"/>
  <c r="D122" i="123"/>
  <c r="F122" i="123" s="1"/>
  <c r="H122" i="95"/>
  <c r="H122" i="116"/>
  <c r="H122" i="140"/>
  <c r="H122" i="135"/>
  <c r="H122" i="113"/>
  <c r="H122" i="91"/>
  <c r="D77" i="116"/>
  <c r="F77" i="116" s="1"/>
  <c r="D77" i="134"/>
  <c r="F77" i="134" s="1"/>
  <c r="D77" i="91"/>
  <c r="F77" i="91" s="1"/>
  <c r="D77" i="96"/>
  <c r="F77" i="96" s="1"/>
  <c r="D77" i="124"/>
  <c r="F77" i="124" s="1"/>
  <c r="D77" i="86"/>
  <c r="F77" i="86" s="1"/>
  <c r="D77" i="136"/>
  <c r="F77" i="136" s="1"/>
  <c r="D77" i="140"/>
  <c r="F77" i="140" s="1"/>
  <c r="D77" i="118"/>
  <c r="F77" i="118" s="1"/>
  <c r="D77" i="139"/>
  <c r="F77" i="139" s="1"/>
  <c r="D77" i="135"/>
  <c r="F77" i="135" s="1"/>
  <c r="D77" i="95"/>
  <c r="F77" i="95" s="1"/>
  <c r="D77" i="138"/>
  <c r="F77" i="138" s="1"/>
  <c r="D77" i="97"/>
  <c r="F77" i="97" s="1"/>
  <c r="D77" i="132"/>
  <c r="F77" i="132" s="1"/>
  <c r="D77" i="120"/>
  <c r="F77" i="120" s="1"/>
  <c r="D77" i="113"/>
  <c r="F77" i="113" s="1"/>
  <c r="D77" i="123"/>
  <c r="F77" i="123" s="1"/>
  <c r="D77" i="99"/>
  <c r="F77" i="99" s="1"/>
  <c r="D77" i="119"/>
  <c r="F77" i="119" s="1"/>
  <c r="D77" i="117"/>
  <c r="F77" i="117" s="1"/>
  <c r="D77" i="98"/>
  <c r="F77" i="98" s="1"/>
  <c r="D77" i="137"/>
  <c r="F77" i="137" s="1"/>
  <c r="D77" i="133"/>
  <c r="F77" i="133" s="1"/>
  <c r="P7" i="94"/>
  <c r="L116" i="86"/>
  <c r="FX6" i="94"/>
  <c r="FX26" i="94"/>
  <c r="FX16" i="94"/>
  <c r="L116" i="134"/>
  <c r="H131" i="95"/>
  <c r="H131" i="96"/>
  <c r="H131" i="98"/>
  <c r="H131" i="132"/>
  <c r="H131" i="138"/>
  <c r="H131" i="86"/>
  <c r="H131" i="124"/>
  <c r="H131" i="123"/>
  <c r="H131" i="113"/>
  <c r="H131" i="137"/>
  <c r="H131" i="140"/>
  <c r="H131" i="136"/>
  <c r="H131" i="91"/>
  <c r="H131" i="117"/>
  <c r="H131" i="118"/>
  <c r="H131" i="139"/>
  <c r="H131" i="116"/>
  <c r="H131" i="99"/>
  <c r="H131" i="97"/>
  <c r="H131" i="119"/>
  <c r="H131" i="133"/>
  <c r="H131" i="120"/>
  <c r="H131" i="135"/>
  <c r="H131" i="134"/>
  <c r="H107" i="133"/>
  <c r="H104" i="133"/>
  <c r="H132" i="95"/>
  <c r="H132" i="96"/>
  <c r="H132" i="98"/>
  <c r="H132" i="132"/>
  <c r="H132" i="138"/>
  <c r="H132" i="124"/>
  <c r="H132" i="123"/>
  <c r="H132" i="113"/>
  <c r="H132" i="137"/>
  <c r="H132" i="140"/>
  <c r="H132" i="136"/>
  <c r="H132" i="86"/>
  <c r="H132" i="91"/>
  <c r="H132" i="117"/>
  <c r="H132" i="118"/>
  <c r="H132" i="139"/>
  <c r="H132" i="116"/>
  <c r="H132" i="99"/>
  <c r="H132" i="97"/>
  <c r="H132" i="119"/>
  <c r="H132" i="133"/>
  <c r="H132" i="120"/>
  <c r="H132" i="135"/>
  <c r="H132" i="134"/>
  <c r="P33" i="94"/>
  <c r="F10" i="145" s="1"/>
  <c r="D132" i="98"/>
  <c r="F132" i="98" s="1"/>
  <c r="D132" i="95"/>
  <c r="F132" i="95" s="1"/>
  <c r="D132" i="91"/>
  <c r="F132" i="91" s="1"/>
  <c r="D132" i="116"/>
  <c r="F132" i="116" s="1"/>
  <c r="D132" i="96"/>
  <c r="F132" i="96" s="1"/>
  <c r="D132" i="86"/>
  <c r="F132" i="86" s="1"/>
  <c r="D132" i="124"/>
  <c r="F132" i="124" s="1"/>
  <c r="D132" i="99"/>
  <c r="F132" i="99" s="1"/>
  <c r="D132" i="113"/>
  <c r="F132" i="113" s="1"/>
  <c r="D132" i="119"/>
  <c r="F132" i="119" s="1"/>
  <c r="D132" i="97"/>
  <c r="F132" i="97" s="1"/>
  <c r="D132" i="118"/>
  <c r="F132" i="118" s="1"/>
  <c r="D132" i="117"/>
  <c r="F132" i="117" s="1"/>
  <c r="D132" i="123"/>
  <c r="F132" i="123" s="1"/>
  <c r="D132" i="120"/>
  <c r="F132" i="120" s="1"/>
  <c r="D132" i="135"/>
  <c r="F132" i="135" s="1"/>
  <c r="D132" i="134"/>
  <c r="F132" i="134" s="1"/>
  <c r="D132" i="137"/>
  <c r="F132" i="137" s="1"/>
  <c r="D132" i="133"/>
  <c r="F132" i="133" s="1"/>
  <c r="D132" i="138"/>
  <c r="F132" i="138" s="1"/>
  <c r="D132" i="132"/>
  <c r="F132" i="132" s="1"/>
  <c r="D132" i="136"/>
  <c r="F132" i="136" s="1"/>
  <c r="D132" i="139"/>
  <c r="F132" i="139" s="1"/>
  <c r="D132" i="140"/>
  <c r="F132" i="140" s="1"/>
  <c r="D131" i="95"/>
  <c r="F131" i="95" s="1"/>
  <c r="D131" i="86"/>
  <c r="F131" i="86" s="1"/>
  <c r="D131" i="116"/>
  <c r="F131" i="116" s="1"/>
  <c r="D131" i="124"/>
  <c r="F131" i="124" s="1"/>
  <c r="D131" i="98"/>
  <c r="F131" i="98" s="1"/>
  <c r="D131" i="97"/>
  <c r="F131" i="97" s="1"/>
  <c r="D131" i="118"/>
  <c r="F131" i="118" s="1"/>
  <c r="D131" i="117"/>
  <c r="F131" i="117" s="1"/>
  <c r="D131" i="123"/>
  <c r="F131" i="123" s="1"/>
  <c r="D131" i="91"/>
  <c r="F131" i="91" s="1"/>
  <c r="D131" i="99"/>
  <c r="F131" i="99" s="1"/>
  <c r="D131" i="113"/>
  <c r="F131" i="113" s="1"/>
  <c r="D131" i="120"/>
  <c r="F131" i="120" s="1"/>
  <c r="D131" i="96"/>
  <c r="F131" i="96" s="1"/>
  <c r="D131" i="135"/>
  <c r="F131" i="135" s="1"/>
  <c r="D131" i="119"/>
  <c r="F131" i="119" s="1"/>
  <c r="D131" i="136"/>
  <c r="F131" i="136" s="1"/>
  <c r="D131" i="134"/>
  <c r="F131" i="134" s="1"/>
  <c r="D131" i="137"/>
  <c r="F131" i="137" s="1"/>
  <c r="D131" i="133"/>
  <c r="F131" i="133" s="1"/>
  <c r="D131" i="138"/>
  <c r="F131" i="138" s="1"/>
  <c r="D131" i="132"/>
  <c r="F131" i="132" s="1"/>
  <c r="D131" i="139"/>
  <c r="F131" i="139" s="1"/>
  <c r="D131" i="140"/>
  <c r="F131" i="140" s="1"/>
  <c r="L116" i="132"/>
  <c r="P20" i="94"/>
  <c r="D10" i="145" s="1"/>
  <c r="D107" i="123"/>
  <c r="F107" i="123" s="1"/>
  <c r="D107" i="86"/>
  <c r="F107" i="86" s="1"/>
  <c r="D107" i="91"/>
  <c r="F107" i="91" s="1"/>
  <c r="GW8" i="94" s="1"/>
  <c r="D107" i="116"/>
  <c r="F107" i="116" s="1"/>
  <c r="D107" i="96"/>
  <c r="F107" i="96" s="1"/>
  <c r="D107" i="119"/>
  <c r="F107" i="119" s="1"/>
  <c r="D107" i="124"/>
  <c r="F107" i="124" s="1"/>
  <c r="D107" i="95"/>
  <c r="F107" i="95" s="1"/>
  <c r="D107" i="113"/>
  <c r="F107" i="113" s="1"/>
  <c r="D107" i="99"/>
  <c r="F107" i="99" s="1"/>
  <c r="D107" i="118"/>
  <c r="F107" i="118" s="1"/>
  <c r="D107" i="98"/>
  <c r="F107" i="98" s="1"/>
  <c r="D107" i="120"/>
  <c r="F107" i="120" s="1"/>
  <c r="D107" i="97"/>
  <c r="F107" i="97" s="1"/>
  <c r="D107" i="132"/>
  <c r="F107" i="132" s="1"/>
  <c r="D107" i="135"/>
  <c r="F107" i="135" s="1"/>
  <c r="D107" i="137"/>
  <c r="F107" i="137" s="1"/>
  <c r="D107" i="136"/>
  <c r="F107" i="136" s="1"/>
  <c r="D107" i="134"/>
  <c r="F107" i="134" s="1"/>
  <c r="D107" i="117"/>
  <c r="F107" i="117" s="1"/>
  <c r="D107" i="138"/>
  <c r="F107" i="138" s="1"/>
  <c r="D107" i="140"/>
  <c r="F107" i="140" s="1"/>
  <c r="D107" i="133"/>
  <c r="F107" i="133" s="1"/>
  <c r="D107" i="139"/>
  <c r="F107" i="139" s="1"/>
  <c r="I107" i="133"/>
  <c r="I131" i="95"/>
  <c r="I131" i="135"/>
  <c r="I131" i="117"/>
  <c r="I131" i="96"/>
  <c r="I131" i="99"/>
  <c r="I131" i="120"/>
  <c r="I131" i="140"/>
  <c r="I131" i="134"/>
  <c r="I131" i="138"/>
  <c r="I131" i="91"/>
  <c r="I131" i="113"/>
  <c r="I131" i="86"/>
  <c r="I131" i="98"/>
  <c r="I131" i="136"/>
  <c r="I131" i="119"/>
  <c r="I131" i="123"/>
  <c r="I131" i="97"/>
  <c r="I131" i="124"/>
  <c r="I131" i="139"/>
  <c r="I131" i="137"/>
  <c r="I131" i="132"/>
  <c r="I131" i="116"/>
  <c r="I131" i="133"/>
  <c r="I131" i="118"/>
  <c r="I132" i="97"/>
  <c r="I132" i="124"/>
  <c r="I132" i="140"/>
  <c r="I132" i="118"/>
  <c r="I132" i="116"/>
  <c r="I132" i="134"/>
  <c r="I132" i="120"/>
  <c r="I132" i="123"/>
  <c r="I132" i="119"/>
  <c r="I132" i="113"/>
  <c r="I132" i="135"/>
  <c r="I132" i="137"/>
  <c r="I132" i="95"/>
  <c r="I132" i="132"/>
  <c r="I132" i="117"/>
  <c r="I132" i="96"/>
  <c r="I132" i="99"/>
  <c r="I132" i="136"/>
  <c r="I132" i="138"/>
  <c r="I132" i="91"/>
  <c r="I132" i="139"/>
  <c r="I132" i="86"/>
  <c r="I132" i="98"/>
  <c r="I132" i="133"/>
  <c r="Q7" i="94" l="1"/>
  <c r="C10" i="145"/>
  <c r="J118" i="123"/>
  <c r="GN7" i="94" s="1"/>
  <c r="J118" i="113"/>
  <c r="J118" i="118"/>
  <c r="L118" i="132"/>
  <c r="L118" i="86"/>
  <c r="J118" i="99"/>
  <c r="J119" i="99" s="1"/>
  <c r="J118" i="91"/>
  <c r="J118" i="137"/>
  <c r="J118" i="136"/>
  <c r="J119" i="136" s="1"/>
  <c r="J118" i="119"/>
  <c r="J118" i="95"/>
  <c r="J118" i="96"/>
  <c r="L118" i="98"/>
  <c r="J118" i="135"/>
  <c r="J118" i="139"/>
  <c r="GX7" i="94" s="1"/>
  <c r="J118" i="134"/>
  <c r="J118" i="116"/>
  <c r="L118" i="97"/>
  <c r="GY17" i="94" s="1"/>
  <c r="J118" i="120"/>
  <c r="J118" i="140"/>
  <c r="HD6" i="94" s="1"/>
  <c r="L118" i="95"/>
  <c r="GL15" i="94" s="1"/>
  <c r="F116" i="99"/>
  <c r="J118" i="98"/>
  <c r="J118" i="97"/>
  <c r="GY5" i="94" s="1"/>
  <c r="J118" i="86"/>
  <c r="J119" i="86" s="1"/>
  <c r="J118" i="132"/>
  <c r="J119" i="132" s="1"/>
  <c r="J118" i="117"/>
  <c r="J118" i="138"/>
  <c r="J118" i="124"/>
  <c r="H135" i="118"/>
  <c r="H135" i="91"/>
  <c r="L118" i="113"/>
  <c r="HE17" i="94" s="1"/>
  <c r="L118" i="119"/>
  <c r="L118" i="123"/>
  <c r="L118" i="120"/>
  <c r="I114" i="91"/>
  <c r="M118" i="91"/>
  <c r="I116" i="91"/>
  <c r="I114" i="97"/>
  <c r="M118" i="97"/>
  <c r="I116" i="97"/>
  <c r="M118" i="133"/>
  <c r="GH23" i="94" s="1"/>
  <c r="I116" i="133"/>
  <c r="I114" i="86"/>
  <c r="M118" i="86"/>
  <c r="GT25" i="94" s="1"/>
  <c r="I116" i="86"/>
  <c r="I114" i="98"/>
  <c r="M118" i="98"/>
  <c r="I116" i="98"/>
  <c r="I116" i="139"/>
  <c r="I114" i="139"/>
  <c r="M118" i="139"/>
  <c r="M118" i="132"/>
  <c r="GS24" i="94" s="1"/>
  <c r="I116" i="132"/>
  <c r="I114" i="132"/>
  <c r="I114" i="140"/>
  <c r="M118" i="140"/>
  <c r="I116" i="140"/>
  <c r="M118" i="99"/>
  <c r="GU26" i="94" s="1"/>
  <c r="I116" i="99"/>
  <c r="I114" i="99"/>
  <c r="I114" i="134"/>
  <c r="M118" i="134"/>
  <c r="I116" i="134"/>
  <c r="M118" i="96"/>
  <c r="GM26" i="94" s="1"/>
  <c r="I116" i="96"/>
  <c r="I114" i="96"/>
  <c r="I114" i="136"/>
  <c r="M118" i="136"/>
  <c r="GV27" i="94" s="1"/>
  <c r="I116" i="136"/>
  <c r="I114" i="116"/>
  <c r="M118" i="116"/>
  <c r="I116" i="116"/>
  <c r="I114" i="138"/>
  <c r="M118" i="138"/>
  <c r="I116" i="138"/>
  <c r="I116" i="113"/>
  <c r="I114" i="113"/>
  <c r="M118" i="113"/>
  <c r="I114" i="135"/>
  <c r="M118" i="135"/>
  <c r="I116" i="135"/>
  <c r="I114" i="137"/>
  <c r="M118" i="137"/>
  <c r="I116" i="137"/>
  <c r="I114" i="118"/>
  <c r="M118" i="118"/>
  <c r="I116" i="118"/>
  <c r="I114" i="95"/>
  <c r="M118" i="95"/>
  <c r="I116" i="95"/>
  <c r="I114" i="123"/>
  <c r="M118" i="123"/>
  <c r="I116" i="123"/>
  <c r="M118" i="119"/>
  <c r="GQ24" i="94" s="1"/>
  <c r="I116" i="119"/>
  <c r="I114" i="119"/>
  <c r="I114" i="133"/>
  <c r="I116" i="124"/>
  <c r="I114" i="124"/>
  <c r="M118" i="124"/>
  <c r="M118" i="117"/>
  <c r="I114" i="117"/>
  <c r="I116" i="117"/>
  <c r="I114" i="120"/>
  <c r="M118" i="120"/>
  <c r="GR25" i="94" s="1"/>
  <c r="I116" i="120"/>
  <c r="L118" i="135"/>
  <c r="L118" i="91"/>
  <c r="L118" i="96"/>
  <c r="H135" i="98"/>
  <c r="L118" i="99"/>
  <c r="L118" i="134"/>
  <c r="L118" i="137"/>
  <c r="L118" i="116"/>
  <c r="HA14" i="94" s="1"/>
  <c r="L118" i="124"/>
  <c r="HB15" i="94" s="1"/>
  <c r="L118" i="117"/>
  <c r="L118" i="140"/>
  <c r="HD17" i="94" s="1"/>
  <c r="L118" i="136"/>
  <c r="L118" i="133"/>
  <c r="GH14" i="94" s="1"/>
  <c r="L118" i="138"/>
  <c r="HC16" i="94" s="1"/>
  <c r="L118" i="139"/>
  <c r="GX17" i="94" s="1"/>
  <c r="L118" i="118"/>
  <c r="H114" i="123"/>
  <c r="H116" i="123"/>
  <c r="H114" i="120"/>
  <c r="H116" i="120"/>
  <c r="H114" i="132"/>
  <c r="H116" i="132"/>
  <c r="H114" i="97"/>
  <c r="H116" i="97"/>
  <c r="H114" i="86"/>
  <c r="H116" i="86"/>
  <c r="H114" i="95"/>
  <c r="H116" i="95"/>
  <c r="H114" i="113"/>
  <c r="H116" i="113"/>
  <c r="H114" i="135"/>
  <c r="H116" i="135"/>
  <c r="H114" i="91"/>
  <c r="H116" i="91"/>
  <c r="H114" i="96"/>
  <c r="H116" i="96"/>
  <c r="H116" i="99"/>
  <c r="H114" i="99"/>
  <c r="H114" i="134"/>
  <c r="H116" i="134"/>
  <c r="H116" i="137"/>
  <c r="H114" i="137"/>
  <c r="H114" i="124"/>
  <c r="H116" i="124"/>
  <c r="H114" i="117"/>
  <c r="H116" i="117"/>
  <c r="H116" i="119"/>
  <c r="H114" i="119"/>
  <c r="H114" i="116"/>
  <c r="H116" i="116"/>
  <c r="H114" i="140"/>
  <c r="H116" i="140"/>
  <c r="H114" i="98"/>
  <c r="H116" i="98"/>
  <c r="H114" i="136"/>
  <c r="H116" i="136"/>
  <c r="H135" i="134"/>
  <c r="H116" i="133"/>
  <c r="H116" i="138"/>
  <c r="H114" i="138"/>
  <c r="H114" i="139"/>
  <c r="H116" i="139"/>
  <c r="H116" i="118"/>
  <c r="H114" i="118"/>
  <c r="H135" i="116"/>
  <c r="EG14" i="94" s="1"/>
  <c r="H135" i="95"/>
  <c r="DR15" i="94" s="1"/>
  <c r="F116" i="95"/>
  <c r="H135" i="135"/>
  <c r="F116" i="117"/>
  <c r="F116" i="86"/>
  <c r="F116" i="136"/>
  <c r="F116" i="132"/>
  <c r="F116" i="120"/>
  <c r="F116" i="133"/>
  <c r="H135" i="120"/>
  <c r="F135" i="140"/>
  <c r="H135" i="96"/>
  <c r="P21" i="94"/>
  <c r="H114" i="133"/>
  <c r="F135" i="133"/>
  <c r="DN5" i="94" s="1"/>
  <c r="H135" i="123"/>
  <c r="H135" i="124"/>
  <c r="EH15" i="94" s="1"/>
  <c r="F135" i="124"/>
  <c r="EH6" i="94" s="1"/>
  <c r="I135" i="133"/>
  <c r="DN23" i="94" s="1"/>
  <c r="I135" i="119"/>
  <c r="DW24" i="94" s="1"/>
  <c r="I135" i="140"/>
  <c r="F116" i="98"/>
  <c r="I135" i="136"/>
  <c r="I135" i="120"/>
  <c r="DX25" i="94" s="1"/>
  <c r="F135" i="86"/>
  <c r="H135" i="138"/>
  <c r="EI16" i="94" s="1"/>
  <c r="F135" i="136"/>
  <c r="EB6" i="94" s="1"/>
  <c r="H135" i="86"/>
  <c r="F135" i="123"/>
  <c r="DT7" i="94" s="1"/>
  <c r="Q33" i="94"/>
  <c r="I135" i="118"/>
  <c r="F135" i="113"/>
  <c r="H135" i="139"/>
  <c r="ED17" i="94" s="1"/>
  <c r="I135" i="97"/>
  <c r="I135" i="123"/>
  <c r="I135" i="134"/>
  <c r="F135" i="137"/>
  <c r="F135" i="134"/>
  <c r="H135" i="117"/>
  <c r="H135" i="133"/>
  <c r="DN14" i="94" s="1"/>
  <c r="I135" i="98"/>
  <c r="H135" i="119"/>
  <c r="H135" i="136"/>
  <c r="EB16" i="94" s="1"/>
  <c r="H135" i="132"/>
  <c r="I135" i="132"/>
  <c r="DY24" i="94" s="1"/>
  <c r="I135" i="99"/>
  <c r="EA26" i="94" s="1"/>
  <c r="I135" i="96"/>
  <c r="DS26" i="94" s="1"/>
  <c r="H135" i="97"/>
  <c r="EE17" i="94" s="1"/>
  <c r="H135" i="140"/>
  <c r="EJ17" i="94" s="1"/>
  <c r="I135" i="117"/>
  <c r="H135" i="99"/>
  <c r="EA16" i="94" s="1"/>
  <c r="H135" i="137"/>
  <c r="H135" i="113"/>
  <c r="EK17" i="94" s="1"/>
  <c r="F135" i="98"/>
  <c r="F135" i="116"/>
  <c r="EG6" i="94" s="1"/>
  <c r="F135" i="91"/>
  <c r="EC5" i="94" s="1"/>
  <c r="F135" i="99"/>
  <c r="EA6" i="94" s="1"/>
  <c r="F116" i="116"/>
  <c r="F116" i="134"/>
  <c r="GU6" i="94"/>
  <c r="F116" i="119"/>
  <c r="F116" i="137"/>
  <c r="F135" i="117"/>
  <c r="EF8" i="94" s="1"/>
  <c r="F116" i="123"/>
  <c r="F135" i="118"/>
  <c r="F135" i="97"/>
  <c r="P8" i="94"/>
  <c r="F135" i="138"/>
  <c r="F135" i="120"/>
  <c r="F116" i="97"/>
  <c r="J118" i="133"/>
  <c r="GH5" i="94" s="1"/>
  <c r="Q20" i="94"/>
  <c r="F116" i="135"/>
  <c r="P34" i="94"/>
  <c r="F11" i="145" s="1"/>
  <c r="F116" i="118"/>
  <c r="F116" i="96"/>
  <c r="F135" i="95"/>
  <c r="F116" i="124"/>
  <c r="F116" i="138"/>
  <c r="F116" i="113"/>
  <c r="F116" i="139"/>
  <c r="F116" i="140"/>
  <c r="F116" i="91"/>
  <c r="F135" i="139"/>
  <c r="F135" i="135"/>
  <c r="F135" i="119"/>
  <c r="F135" i="132"/>
  <c r="F135" i="96"/>
  <c r="I135" i="116"/>
  <c r="I135" i="86"/>
  <c r="DZ25" i="94" s="1"/>
  <c r="I135" i="137"/>
  <c r="I135" i="139"/>
  <c r="I135" i="113"/>
  <c r="I135" i="124"/>
  <c r="I135" i="91"/>
  <c r="I135" i="135"/>
  <c r="I135" i="138"/>
  <c r="R17" i="130" s="1"/>
  <c r="I135" i="95"/>
  <c r="DT16" i="94" l="1"/>
  <c r="DT17" i="94"/>
  <c r="GN16" i="94"/>
  <c r="GN17" i="94"/>
  <c r="Q21" i="94"/>
  <c r="D11" i="145"/>
  <c r="Q8" i="94"/>
  <c r="C11" i="145"/>
  <c r="F117" i="133"/>
  <c r="F118" i="133" s="1"/>
  <c r="F137" i="133" s="1"/>
  <c r="F138" i="133" s="1"/>
  <c r="F117" i="120"/>
  <c r="F118" i="120" s="1"/>
  <c r="F137" i="120" s="1"/>
  <c r="F138" i="120" s="1"/>
  <c r="F117" i="95"/>
  <c r="F118" i="95" s="1"/>
  <c r="F137" i="95" s="1"/>
  <c r="F138" i="95" s="1"/>
  <c r="F117" i="99"/>
  <c r="F118" i="99" s="1"/>
  <c r="F137" i="99" s="1"/>
  <c r="F138" i="99" s="1"/>
  <c r="F117" i="132"/>
  <c r="F118" i="132" s="1"/>
  <c r="F137" i="132" s="1"/>
  <c r="F138" i="132" s="1"/>
  <c r="F117" i="96"/>
  <c r="F118" i="96" s="1"/>
  <c r="F137" i="96" s="1"/>
  <c r="F138" i="96" s="1"/>
  <c r="F117" i="117"/>
  <c r="F118" i="117" s="1"/>
  <c r="F137" i="117" s="1"/>
  <c r="F138" i="117" s="1"/>
  <c r="F117" i="136"/>
  <c r="F118" i="136" s="1"/>
  <c r="F137" i="136" s="1"/>
  <c r="F138" i="136" s="1"/>
  <c r="BH6" i="94" s="1"/>
  <c r="F117" i="86"/>
  <c r="F118" i="86" s="1"/>
  <c r="F137" i="86" s="1"/>
  <c r="F138" i="86" s="1"/>
  <c r="Q13" i="130"/>
  <c r="EJ8" i="94"/>
  <c r="EJ6" i="94"/>
  <c r="J119" i="120"/>
  <c r="Q22" i="130"/>
  <c r="EE7" i="94"/>
  <c r="EE5" i="94"/>
  <c r="ED6" i="94"/>
  <c r="ED7" i="94"/>
  <c r="J119" i="116"/>
  <c r="HA6" i="94"/>
  <c r="J119" i="113"/>
  <c r="J119" i="140"/>
  <c r="HD8" i="94"/>
  <c r="J119" i="138"/>
  <c r="HC7" i="94"/>
  <c r="M17" i="130" a="1"/>
  <c r="M17" i="130" s="1"/>
  <c r="EI7" i="94"/>
  <c r="J119" i="124"/>
  <c r="HB6" i="94"/>
  <c r="J119" i="117"/>
  <c r="GZ8" i="94"/>
  <c r="J119" i="97"/>
  <c r="GY7" i="94"/>
  <c r="J119" i="139"/>
  <c r="GX6" i="94"/>
  <c r="J119" i="91"/>
  <c r="GW5" i="94"/>
  <c r="EB26" i="94"/>
  <c r="EB27" i="94"/>
  <c r="M27" i="130" a="1"/>
  <c r="M27" i="130" s="1"/>
  <c r="J119" i="119"/>
  <c r="J119" i="118"/>
  <c r="Q8" i="130"/>
  <c r="J119" i="137"/>
  <c r="J119" i="96"/>
  <c r="M16" i="130" a="1"/>
  <c r="M16" i="130" s="1"/>
  <c r="J119" i="98"/>
  <c r="M24" i="130" a="1"/>
  <c r="M24" i="130" s="1"/>
  <c r="J119" i="135"/>
  <c r="J119" i="134"/>
  <c r="R18" i="130"/>
  <c r="J119" i="123"/>
  <c r="J119" i="95"/>
  <c r="L119" i="123"/>
  <c r="M25" i="130" a="1"/>
  <c r="M25" i="130" s="1"/>
  <c r="R27" i="130"/>
  <c r="M8" i="130" a="1"/>
  <c r="M8" i="130" s="1"/>
  <c r="R20" i="130"/>
  <c r="Q9" i="130"/>
  <c r="M135" i="123"/>
  <c r="L135" i="96"/>
  <c r="I117" i="133"/>
  <c r="I117" i="120"/>
  <c r="I137" i="120" s="1"/>
  <c r="I117" i="119"/>
  <c r="J119" i="133"/>
  <c r="L135" i="123"/>
  <c r="M135" i="96"/>
  <c r="L119" i="96"/>
  <c r="Q25" i="130"/>
  <c r="R23" i="130"/>
  <c r="R16" i="130"/>
  <c r="R24" i="130"/>
  <c r="I117" i="137"/>
  <c r="I137" i="137" s="1"/>
  <c r="I117" i="96"/>
  <c r="I137" i="96" s="1"/>
  <c r="I117" i="139"/>
  <c r="I137" i="139" s="1"/>
  <c r="I117" i="95"/>
  <c r="I117" i="135"/>
  <c r="I117" i="140"/>
  <c r="I137" i="140" s="1"/>
  <c r="I117" i="117"/>
  <c r="I117" i="116"/>
  <c r="I117" i="132"/>
  <c r="I137" i="132" s="1"/>
  <c r="I117" i="98"/>
  <c r="I137" i="98" s="1"/>
  <c r="I117" i="97"/>
  <c r="I117" i="138"/>
  <c r="I137" i="138" s="1"/>
  <c r="I117" i="118"/>
  <c r="I117" i="113"/>
  <c r="I137" i="113" s="1"/>
  <c r="I117" i="134"/>
  <c r="I117" i="99"/>
  <c r="I137" i="99" s="1"/>
  <c r="I117" i="124"/>
  <c r="I117" i="123"/>
  <c r="I137" i="123" s="1"/>
  <c r="I117" i="136"/>
  <c r="I117" i="86"/>
  <c r="I137" i="86" s="1"/>
  <c r="I117" i="91"/>
  <c r="H117" i="118"/>
  <c r="H117" i="119"/>
  <c r="H117" i="136"/>
  <c r="H117" i="134"/>
  <c r="H137" i="134" s="1"/>
  <c r="H117" i="135"/>
  <c r="H137" i="135" s="1"/>
  <c r="H117" i="97"/>
  <c r="H117" i="99"/>
  <c r="H117" i="139"/>
  <c r="H117" i="98"/>
  <c r="H117" i="117"/>
  <c r="H117" i="113"/>
  <c r="H117" i="132"/>
  <c r="H137" i="132" s="1"/>
  <c r="H117" i="96"/>
  <c r="H137" i="96" s="1"/>
  <c r="H117" i="95"/>
  <c r="H137" i="95" s="1"/>
  <c r="H117" i="120"/>
  <c r="H137" i="120" s="1"/>
  <c r="H117" i="133"/>
  <c r="H117" i="138"/>
  <c r="H117" i="124"/>
  <c r="H117" i="137"/>
  <c r="H117" i="140"/>
  <c r="H137" i="140" s="1"/>
  <c r="H117" i="116"/>
  <c r="H137" i="116" s="1"/>
  <c r="H117" i="91"/>
  <c r="H137" i="91" s="1"/>
  <c r="H117" i="86"/>
  <c r="H137" i="86" s="1"/>
  <c r="H117" i="123"/>
  <c r="H137" i="123" s="1"/>
  <c r="P8" i="130"/>
  <c r="O8" i="130"/>
  <c r="R21" i="130"/>
  <c r="R26" i="130"/>
  <c r="R11" i="130"/>
  <c r="O24" i="130"/>
  <c r="M10" i="130" a="1"/>
  <c r="M10" i="130" s="1"/>
  <c r="R19" i="130"/>
  <c r="M19" i="130" a="1"/>
  <c r="M19" i="130" s="1"/>
  <c r="R10" i="130"/>
  <c r="Q21" i="130"/>
  <c r="Q27" i="130"/>
  <c r="R7" i="130"/>
  <c r="P9" i="130"/>
  <c r="Q16" i="130"/>
  <c r="M13" i="130" a="1"/>
  <c r="M13" i="130" s="1"/>
  <c r="EC8" i="94"/>
  <c r="M9" i="130" a="1"/>
  <c r="M9" i="130" s="1"/>
  <c r="Q23" i="130"/>
  <c r="O25" i="130"/>
  <c r="Q20" i="130"/>
  <c r="Q19" i="130"/>
  <c r="Q26" i="130"/>
  <c r="N25" i="130"/>
  <c r="N19" i="130"/>
  <c r="O9" i="130"/>
  <c r="M6" i="130" a="1"/>
  <c r="M6" i="130" s="1"/>
  <c r="N6" i="130"/>
  <c r="Q10" i="130"/>
  <c r="R22" i="130"/>
  <c r="Q18" i="130"/>
  <c r="R8" i="130"/>
  <c r="N7" i="130"/>
  <c r="M7" i="130" a="1"/>
  <c r="M7" i="130" s="1"/>
  <c r="N8" i="130"/>
  <c r="N18" i="130"/>
  <c r="M18" i="130" a="1"/>
  <c r="M18" i="130" s="1"/>
  <c r="O14" i="130"/>
  <c r="P14" i="130"/>
  <c r="Q17" i="130"/>
  <c r="R6" i="130"/>
  <c r="P17" i="130"/>
  <c r="O17" i="130"/>
  <c r="Q15" i="130"/>
  <c r="Q6" i="130"/>
  <c r="N22" i="130"/>
  <c r="M22" i="130" a="1"/>
  <c r="M22" i="130" s="1"/>
  <c r="N13" i="130"/>
  <c r="P10" i="130"/>
  <c r="O10" i="130"/>
  <c r="P23" i="130"/>
  <c r="O23" i="130"/>
  <c r="R15" i="130"/>
  <c r="M14" i="130" a="1"/>
  <c r="M14" i="130" s="1"/>
  <c r="N14" i="130"/>
  <c r="P6" i="130"/>
  <c r="O6" i="130"/>
  <c r="M23" i="130" a="1"/>
  <c r="M23" i="130" s="1"/>
  <c r="N23" i="130"/>
  <c r="P22" i="130"/>
  <c r="O22" i="130"/>
  <c r="O18" i="130"/>
  <c r="P18" i="130"/>
  <c r="R14" i="130"/>
  <c r="Q7" i="130"/>
  <c r="N17" i="130"/>
  <c r="N10" i="130"/>
  <c r="GV6" i="94"/>
  <c r="N15" i="130"/>
  <c r="M15" i="130" a="1"/>
  <c r="M15" i="130" s="1"/>
  <c r="P15" i="130"/>
  <c r="O15" i="130"/>
  <c r="O7" i="130"/>
  <c r="P7" i="130"/>
  <c r="Q14" i="130"/>
  <c r="Q24" i="130"/>
  <c r="P24" i="130"/>
  <c r="P19" i="130"/>
  <c r="P20" i="130"/>
  <c r="N20" i="130"/>
  <c r="O20" i="130"/>
  <c r="O19" i="130"/>
  <c r="O11" i="130"/>
  <c r="N9" i="130"/>
  <c r="F117" i="98"/>
  <c r="F117" i="119"/>
  <c r="F118" i="119" s="1"/>
  <c r="P11" i="130"/>
  <c r="N24" i="130"/>
  <c r="O21" i="130"/>
  <c r="P21" i="130"/>
  <c r="P13" i="130"/>
  <c r="O13" i="130"/>
  <c r="P26" i="130"/>
  <c r="O26" i="130"/>
  <c r="O5" i="130"/>
  <c r="P5" i="130"/>
  <c r="P25" i="130"/>
  <c r="R25" i="130"/>
  <c r="P12" i="130"/>
  <c r="O12" i="130"/>
  <c r="O27" i="130"/>
  <c r="P27" i="130"/>
  <c r="O16" i="130"/>
  <c r="P16" i="130"/>
  <c r="F117" i="134"/>
  <c r="F117" i="116"/>
  <c r="F117" i="137"/>
  <c r="F118" i="137" s="1"/>
  <c r="M20" i="130" a="1"/>
  <c r="M20" i="130" s="1"/>
  <c r="F117" i="140"/>
  <c r="F118" i="140" s="1"/>
  <c r="F117" i="123"/>
  <c r="F118" i="123" s="1"/>
  <c r="F117" i="138"/>
  <c r="F117" i="91"/>
  <c r="F118" i="91" s="1"/>
  <c r="N5" i="130"/>
  <c r="M5" i="130" a="1"/>
  <c r="M5" i="130" s="1"/>
  <c r="H6" i="88" s="1"/>
  <c r="N16" i="130"/>
  <c r="Q34" i="94"/>
  <c r="N21" i="130"/>
  <c r="M21" i="130" a="1"/>
  <c r="M21" i="130" s="1"/>
  <c r="N27" i="130"/>
  <c r="F117" i="135"/>
  <c r="M11" i="130" a="1"/>
  <c r="M11" i="130" s="1"/>
  <c r="N11" i="130"/>
  <c r="F117" i="139"/>
  <c r="F117" i="97"/>
  <c r="F118" i="97" s="1"/>
  <c r="N12" i="130"/>
  <c r="M12" i="130" a="1"/>
  <c r="M12" i="130" s="1"/>
  <c r="F117" i="124"/>
  <c r="F117" i="113"/>
  <c r="N26" i="130"/>
  <c r="M26" i="130" a="1"/>
  <c r="M26" i="130" s="1"/>
  <c r="F117" i="118"/>
  <c r="F118" i="118" s="1"/>
  <c r="Q11" i="130"/>
  <c r="Q12" i="130"/>
  <c r="R13" i="130"/>
  <c r="Q5" i="130"/>
  <c r="R5" i="130"/>
  <c r="R9" i="130"/>
  <c r="R12" i="130"/>
  <c r="BR5" i="94" l="1"/>
  <c r="AT5" i="94"/>
  <c r="H11" i="88"/>
  <c r="I6" i="88"/>
  <c r="I11" i="88" s="1"/>
  <c r="I138" i="120"/>
  <c r="I137" i="116"/>
  <c r="I138" i="116" s="1"/>
  <c r="H137" i="137"/>
  <c r="H138" i="137" s="1"/>
  <c r="I138" i="113"/>
  <c r="I138" i="140"/>
  <c r="I137" i="134"/>
  <c r="I138" i="134" s="1"/>
  <c r="F118" i="98"/>
  <c r="F137" i="98" s="1"/>
  <c r="F138" i="98" s="1"/>
  <c r="F137" i="123"/>
  <c r="F138" i="123" s="1"/>
  <c r="H138" i="123"/>
  <c r="H137" i="113"/>
  <c r="H138" i="113" s="1"/>
  <c r="I137" i="135"/>
  <c r="I138" i="135" s="1"/>
  <c r="I137" i="117"/>
  <c r="I138" i="117" s="1"/>
  <c r="I137" i="91"/>
  <c r="I138" i="91" s="1"/>
  <c r="H137" i="138"/>
  <c r="H138" i="138" s="1"/>
  <c r="H137" i="117"/>
  <c r="H138" i="117" s="1"/>
  <c r="F118" i="135"/>
  <c r="F137" i="135" s="1"/>
  <c r="F138" i="135" s="1"/>
  <c r="H137" i="119"/>
  <c r="H138" i="119" s="1"/>
  <c r="F118" i="124"/>
  <c r="F137" i="124" s="1"/>
  <c r="F138" i="124" s="1"/>
  <c r="H137" i="124"/>
  <c r="H138" i="124" s="1"/>
  <c r="F137" i="91"/>
  <c r="F138" i="91" s="1"/>
  <c r="F137" i="118"/>
  <c r="F138" i="118" s="1"/>
  <c r="F137" i="97"/>
  <c r="F138" i="97" s="1"/>
  <c r="H138" i="86"/>
  <c r="H138" i="120"/>
  <c r="I138" i="86"/>
  <c r="I138" i="138"/>
  <c r="F137" i="140"/>
  <c r="F138" i="140" s="1"/>
  <c r="CN6" i="94" s="1"/>
  <c r="H138" i="91"/>
  <c r="H138" i="95"/>
  <c r="I138" i="139"/>
  <c r="H137" i="98"/>
  <c r="H138" i="98" s="1"/>
  <c r="I137" i="118"/>
  <c r="I138" i="118" s="1"/>
  <c r="H137" i="118"/>
  <c r="H138" i="118" s="1"/>
  <c r="I137" i="133"/>
  <c r="I138" i="133" s="1"/>
  <c r="F118" i="139"/>
  <c r="F137" i="139" s="1"/>
  <c r="F138" i="139" s="1"/>
  <c r="F118" i="138"/>
  <c r="F137" i="138" s="1"/>
  <c r="F138" i="138" s="1"/>
  <c r="F118" i="116"/>
  <c r="F137" i="116" s="1"/>
  <c r="F138" i="116" s="1"/>
  <c r="F137" i="137"/>
  <c r="F138" i="137" s="1"/>
  <c r="H138" i="116"/>
  <c r="H138" i="96"/>
  <c r="H138" i="135"/>
  <c r="I138" i="123"/>
  <c r="I138" i="98"/>
  <c r="I138" i="96"/>
  <c r="H137" i="139"/>
  <c r="H138" i="139" s="1"/>
  <c r="H137" i="97"/>
  <c r="H138" i="97" s="1"/>
  <c r="I137" i="95"/>
  <c r="I138" i="95" s="1"/>
  <c r="H137" i="99"/>
  <c r="H138" i="99" s="1"/>
  <c r="I137" i="136"/>
  <c r="I138" i="136" s="1"/>
  <c r="H137" i="133"/>
  <c r="H138" i="133" s="1"/>
  <c r="I137" i="119"/>
  <c r="I138" i="119" s="1"/>
  <c r="F137" i="119"/>
  <c r="F138" i="119" s="1"/>
  <c r="H138" i="140"/>
  <c r="H138" i="132"/>
  <c r="H138" i="134"/>
  <c r="I138" i="132"/>
  <c r="I138" i="137"/>
  <c r="I137" i="97"/>
  <c r="I138" i="97" s="1"/>
  <c r="H137" i="136"/>
  <c r="H138" i="136" s="1"/>
  <c r="I137" i="124"/>
  <c r="I138" i="124" s="1"/>
  <c r="F118" i="113"/>
  <c r="F137" i="113" s="1"/>
  <c r="F138" i="113" s="1"/>
  <c r="F118" i="134"/>
  <c r="F137" i="134" s="1"/>
  <c r="F138" i="134" s="1"/>
  <c r="BQ17" i="94"/>
  <c r="CO17" i="94"/>
  <c r="BG26" i="94"/>
  <c r="I138" i="99"/>
  <c r="T25" i="130"/>
  <c r="U25" i="130" s="1"/>
  <c r="BK5" i="94"/>
  <c r="CI5" i="94"/>
  <c r="T27" i="130"/>
  <c r="U27" i="130" s="1"/>
  <c r="CH7" i="94"/>
  <c r="BJ7" i="94"/>
  <c r="CK5" i="94"/>
  <c r="BM6" i="94"/>
  <c r="CK6" i="94"/>
  <c r="T16" i="130"/>
  <c r="U16" i="130" s="1"/>
  <c r="T24" i="130"/>
  <c r="U24" i="130" s="1"/>
  <c r="P35" i="94"/>
  <c r="Q35" i="94" s="1"/>
  <c r="P59" i="94"/>
  <c r="F12" i="145" s="1"/>
  <c r="T17" i="130"/>
  <c r="U17" i="130" s="1"/>
  <c r="CN8" i="94"/>
  <c r="BP8" i="94"/>
  <c r="BO7" i="94"/>
  <c r="CM7" i="94"/>
  <c r="BN6" i="94"/>
  <c r="CL6" i="94"/>
  <c r="BL8" i="94"/>
  <c r="CJ8" i="94"/>
  <c r="BK7" i="94"/>
  <c r="CI7" i="94"/>
  <c r="CH6" i="94"/>
  <c r="BJ6" i="94"/>
  <c r="BI5" i="94"/>
  <c r="CG5" i="94"/>
  <c r="CF27" i="94"/>
  <c r="BH27" i="94"/>
  <c r="I27" i="94" s="1"/>
  <c r="CD25" i="94"/>
  <c r="BF25" i="94"/>
  <c r="BE24" i="94"/>
  <c r="CC24" i="94"/>
  <c r="T8" i="130"/>
  <c r="U8" i="130" s="1"/>
  <c r="T10" i="130"/>
  <c r="U10" i="130" s="1"/>
  <c r="T19" i="130"/>
  <c r="U19" i="130" s="1"/>
  <c r="P23" i="94"/>
  <c r="D13" i="145" s="1"/>
  <c r="T13" i="130"/>
  <c r="U13" i="130" s="1"/>
  <c r="T9" i="130"/>
  <c r="U9" i="130" s="1"/>
  <c r="CG8" i="94"/>
  <c r="BI8" i="94"/>
  <c r="CF6" i="94"/>
  <c r="P60" i="94"/>
  <c r="F13" i="145" s="1"/>
  <c r="P29" i="130"/>
  <c r="Q29" i="130"/>
  <c r="O29" i="130"/>
  <c r="M29" i="130"/>
  <c r="R29" i="130"/>
  <c r="N29" i="130"/>
  <c r="T7" i="130"/>
  <c r="U7" i="130" s="1"/>
  <c r="P36" i="94"/>
  <c r="Q36" i="94" s="1"/>
  <c r="P10" i="94"/>
  <c r="C13" i="145" s="1"/>
  <c r="CE6" i="94"/>
  <c r="BG6" i="94"/>
  <c r="T5" i="130"/>
  <c r="U5" i="130" s="1"/>
  <c r="CE16" i="94"/>
  <c r="T15" i="130"/>
  <c r="U15" i="130" s="1"/>
  <c r="T18" i="130"/>
  <c r="U18" i="130" s="1"/>
  <c r="T6" i="130"/>
  <c r="U6" i="130" s="1"/>
  <c r="BH16" i="94"/>
  <c r="T23" i="130"/>
  <c r="U23" i="130" s="1"/>
  <c r="T22" i="130"/>
  <c r="U22" i="130" s="1"/>
  <c r="CF26" i="94"/>
  <c r="BH26" i="94"/>
  <c r="T20" i="130"/>
  <c r="U20" i="130" s="1"/>
  <c r="T14" i="130"/>
  <c r="U14" i="130" s="1"/>
  <c r="P22" i="94"/>
  <c r="D12" i="145" s="1"/>
  <c r="T12" i="130"/>
  <c r="U12" i="130" s="1"/>
  <c r="T21" i="130"/>
  <c r="U21" i="130" s="1"/>
  <c r="CE26" i="94"/>
  <c r="T26" i="130"/>
  <c r="U26" i="130" s="1"/>
  <c r="P9" i="94"/>
  <c r="C12" i="145" s="1"/>
  <c r="T11" i="130"/>
  <c r="U11" i="130" s="1"/>
  <c r="E13" i="145" l="1"/>
  <c r="G13" i="145"/>
  <c r="G12" i="145"/>
  <c r="E12" i="145"/>
  <c r="CI17" i="94"/>
  <c r="BK17" i="94"/>
  <c r="BJ17" i="94"/>
  <c r="CH17" i="94"/>
  <c r="BX17" i="94"/>
  <c r="AZ17" i="94"/>
  <c r="BX16" i="94"/>
  <c r="AZ16" i="94"/>
  <c r="BC24" i="94"/>
  <c r="CA24" i="94"/>
  <c r="BR14" i="94"/>
  <c r="AT14" i="94"/>
  <c r="AT23" i="94"/>
  <c r="I23" i="94" s="1"/>
  <c r="BR23" i="94"/>
  <c r="CB25" i="94"/>
  <c r="BD25" i="94"/>
  <c r="I25" i="94" s="1"/>
  <c r="BX7" i="94"/>
  <c r="AZ7" i="94"/>
  <c r="I7" i="94" s="1"/>
  <c r="AX15" i="94"/>
  <c r="BV15" i="94"/>
  <c r="AY26" i="94"/>
  <c r="I26" i="94" s="1"/>
  <c r="BW26" i="94"/>
  <c r="C11" i="88"/>
  <c r="C10" i="88"/>
  <c r="BP6" i="94"/>
  <c r="I6" i="94" s="1"/>
  <c r="I24" i="94"/>
  <c r="Q10" i="94"/>
  <c r="Q23" i="94"/>
  <c r="Q59" i="94"/>
  <c r="CK14" i="94"/>
  <c r="BM14" i="94"/>
  <c r="CN17" i="94"/>
  <c r="BP17" i="94"/>
  <c r="BN15" i="94"/>
  <c r="CL15" i="94"/>
  <c r="I18" i="94"/>
  <c r="CM16" i="94"/>
  <c r="BO16" i="94"/>
  <c r="I8" i="94"/>
  <c r="I9" i="94"/>
  <c r="BG16" i="94"/>
  <c r="I5" i="94"/>
  <c r="P3" i="94"/>
  <c r="C6" i="145" s="1"/>
  <c r="CF16" i="94"/>
  <c r="O30" i="130"/>
  <c r="O61" i="94" s="1"/>
  <c r="P30" i="130"/>
  <c r="Q22" i="94"/>
  <c r="Q9" i="94"/>
  <c r="R30" i="130"/>
  <c r="Q30" i="130"/>
  <c r="P29" i="94" l="1"/>
  <c r="F6" i="145" s="1"/>
  <c r="G6" i="145" s="1"/>
  <c r="D10" i="88"/>
  <c r="E10" i="88"/>
  <c r="E11" i="88"/>
  <c r="D11" i="88"/>
  <c r="I17" i="94"/>
  <c r="I15" i="94"/>
  <c r="I14" i="94"/>
  <c r="P16" i="94"/>
  <c r="D6" i="145" s="1"/>
  <c r="E6" i="145" s="1"/>
  <c r="I16" i="94"/>
  <c r="Q3" i="94"/>
  <c r="M30" i="130"/>
  <c r="N30" i="130"/>
  <c r="Q29" i="94" l="1"/>
  <c r="Q16" i="94"/>
  <c r="B73" i="138" l="1"/>
  <c r="B74" i="138" l="1"/>
  <c r="X7" i="128"/>
  <c r="B72" i="120"/>
  <c r="B121" i="113"/>
  <c r="B73" i="135"/>
  <c r="B74" i="86"/>
  <c r="B72" i="133"/>
  <c r="B74" i="137"/>
  <c r="B121" i="134"/>
  <c r="B72" i="97"/>
  <c r="B73" i="134"/>
  <c r="B72" i="98"/>
  <c r="B74" i="132"/>
  <c r="B72" i="132"/>
  <c r="B74" i="120"/>
  <c r="B74" i="91"/>
  <c r="B74" i="99"/>
  <c r="B73" i="132"/>
  <c r="B72" i="99"/>
  <c r="B72" i="134"/>
  <c r="B121" i="116"/>
  <c r="B74" i="139"/>
  <c r="B72" i="96"/>
  <c r="B74" i="133"/>
  <c r="B73" i="120"/>
  <c r="B73" i="139"/>
  <c r="B121" i="123"/>
  <c r="B73" i="140"/>
  <c r="B73" i="113"/>
  <c r="B73" i="116"/>
  <c r="B72" i="135"/>
  <c r="B121" i="99"/>
  <c r="B121" i="137"/>
  <c r="B73" i="95"/>
  <c r="B121" i="95"/>
  <c r="B72" i="116"/>
  <c r="B74" i="124"/>
  <c r="B121" i="139"/>
  <c r="B121" i="140"/>
  <c r="B73" i="119"/>
  <c r="B74" i="97"/>
  <c r="B73" i="97"/>
  <c r="B74" i="96"/>
  <c r="B73" i="96"/>
  <c r="B121" i="91"/>
  <c r="B72" i="123"/>
  <c r="B121" i="136"/>
  <c r="B121" i="97"/>
  <c r="B72" i="138"/>
  <c r="B73" i="117"/>
  <c r="B121" i="96"/>
  <c r="B121" i="135"/>
  <c r="B72" i="113"/>
  <c r="B74" i="113"/>
  <c r="B121" i="120"/>
  <c r="B72" i="95"/>
  <c r="B121" i="117"/>
  <c r="B74" i="134"/>
  <c r="B72" i="140"/>
  <c r="B74" i="117"/>
  <c r="B121" i="98"/>
  <c r="B72" i="136"/>
  <c r="B73" i="91"/>
  <c r="B73" i="133"/>
  <c r="B74" i="116"/>
  <c r="B121" i="138"/>
  <c r="B72" i="119"/>
  <c r="B73" i="123"/>
  <c r="B72" i="118"/>
  <c r="B73" i="86"/>
  <c r="B73" i="98"/>
  <c r="B74" i="118"/>
  <c r="B121" i="118"/>
  <c r="B72" i="117"/>
  <c r="B73" i="137"/>
  <c r="B74" i="119"/>
  <c r="B74" i="135"/>
  <c r="B121" i="133"/>
  <c r="B72" i="86"/>
  <c r="B73" i="136"/>
  <c r="B74" i="98"/>
  <c r="B74" i="140"/>
  <c r="B121" i="86"/>
  <c r="B121" i="119"/>
  <c r="B73" i="99"/>
  <c r="B121" i="124"/>
  <c r="B72" i="124"/>
  <c r="B74" i="136"/>
  <c r="B72" i="91"/>
  <c r="B73" i="118"/>
  <c r="B72" i="139"/>
  <c r="B74" i="95"/>
  <c r="B73" i="124"/>
  <c r="B121" i="132"/>
  <c r="B74" i="123"/>
  <c r="B72"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tc={0714F691-805F-AB4B-B131-9D54BB46BEAD}</author>
    <author>tc={75A1967C-0715-A542-A5BE-2386F60BD633}</author>
  </authors>
  <commentList>
    <comment ref="I13" authorId="0" shapeId="0" xr:uid="{0714F691-805F-AB4B-B131-9D54BB46BEAD}">
      <text>
        <t>[Threaded comment]
Your version of Excel allows you to read this threaded comment; however, any edits to it will get removed if the file is opened in a newer version of Excel. Learn more: https://go.microsoft.com/fwlink/?linkid=870924
Comment:
    Crop      lb./acre   price/lb
barley        20        0.15
oats           20        0.60
sunflower    1        0.95
peas          40      0.295
turnip      1.25        1.30</t>
      </text>
    </comment>
    <comment ref="I14" authorId="1" shapeId="0" xr:uid="{75A1967C-0715-A542-A5BE-2386F60BD633}">
      <text>
        <t>[Threaded comment]
Your version of Excel allows you to read this threaded comment; however, any edits to it will get removed if the file is opened in a newer version of Excel. Learn more: https://go.microsoft.com/fwlink/?linkid=870924
Comment:
    Crop      lb./acre   price/lb
oats           20        0.60
peas          40      0.295
crimson clover dixie
                    1        0.95
turnip      1.25        1.30
radish     1.25        1.20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tc={667111DD-542D-AB4A-ADC2-19EB94459C0D}</author>
    <author>tc={C5CFBD13-DD76-C649-8584-CB7F7E364BE4}</author>
  </authors>
  <commentList>
    <comment ref="Q7" authorId="0" shapeId="0" xr:uid="{667111DD-542D-AB4A-ADC2-19EB94459C0D}">
      <text>
        <t>[Threaded comment]
Your version of Excel allows you to read this threaded comment; however, any edits to it will get removed if the file is opened in a newer version of Excel. Learn more: https://go.microsoft.com/fwlink/?linkid=870924
Comment:
    No reference to shredder in UI Budgets, hard coded 115 hours</t>
      </text>
    </comment>
    <comment ref="Q8" authorId="1" shapeId="0" xr:uid="{C5CFBD13-DD76-C649-8584-CB7F7E364BE4}">
      <text>
        <t>[Threaded comment]
Your version of Excel allows you to read this threaded comment; however, any edits to it will get removed if the file is opened in a newer version of Excel. Learn more: https://go.microsoft.com/fwlink/?linkid=870924
Comment:
    No reference to harrow in UI Budgets, hard coded 75 hours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<sst xmlns="http://schemas.openxmlformats.org/spreadsheetml/2006/main" count="3079" uniqueCount="393">
  <si>
    <t>Value</t>
  </si>
  <si>
    <t>Input</t>
  </si>
  <si>
    <t>Unit</t>
  </si>
  <si>
    <t>Description</t>
  </si>
  <si>
    <t>Fuel</t>
  </si>
  <si>
    <t>Diesel</t>
  </si>
  <si>
    <t>Total</t>
  </si>
  <si>
    <t>Machinery</t>
  </si>
  <si>
    <t/>
  </si>
  <si>
    <t>X/Acre</t>
  </si>
  <si>
    <t>CROP</t>
  </si>
  <si>
    <t>Returns</t>
  </si>
  <si>
    <t>$/Unit</t>
  </si>
  <si>
    <t>Quantity</t>
  </si>
  <si>
    <t>Total Returns</t>
  </si>
  <si>
    <t>Baler - Guayule</t>
  </si>
  <si>
    <t>Bale Wagon</t>
  </si>
  <si>
    <t>Hour</t>
  </si>
  <si>
    <t>Fert. Broadcast</t>
  </si>
  <si>
    <t>Fert. Sidedress</t>
  </si>
  <si>
    <t>Boom Sprayer, 30'</t>
  </si>
  <si>
    <t>Saddle Tank Sprayer</t>
  </si>
  <si>
    <t>Repair Factors</t>
  </si>
  <si>
    <t>RFV Factor</t>
  </si>
  <si>
    <t>Width</t>
  </si>
  <si>
    <t>Speed</t>
  </si>
  <si>
    <t>Year</t>
  </si>
  <si>
    <t xml:space="preserve">   Quantity</t>
  </si>
  <si>
    <t>N/A</t>
  </si>
  <si>
    <t>Other Expenses</t>
  </si>
  <si>
    <t>Percent</t>
  </si>
  <si>
    <t>Total Annual Costs</t>
  </si>
  <si>
    <t>Returns minus Total Annual Costs</t>
  </si>
  <si>
    <t>Gallon</t>
  </si>
  <si>
    <t>Machine Labor Rates</t>
  </si>
  <si>
    <t>Months</t>
  </si>
  <si>
    <t>Months of Operating Loan</t>
  </si>
  <si>
    <t>Variable Cash Costs</t>
  </si>
  <si>
    <t>Total Fixed Non-Cash Costs</t>
  </si>
  <si>
    <t>Annual Returns</t>
  </si>
  <si>
    <t>Annual Costs</t>
  </si>
  <si>
    <t>Acre/Ton/CWT</t>
  </si>
  <si>
    <t>Planter (Custom)</t>
  </si>
  <si>
    <t>PV of Total Costs</t>
  </si>
  <si>
    <t>Total LO Costs</t>
  </si>
  <si>
    <t>PV of LO Costs</t>
  </si>
  <si>
    <t>Total Tenant Costs</t>
  </si>
  <si>
    <t>PV of Tenant Costs</t>
  </si>
  <si>
    <t>Tenant's Share</t>
  </si>
  <si>
    <t>Landowner's Share</t>
  </si>
  <si>
    <t>Annual Appreciation of Land Values</t>
  </si>
  <si>
    <t>Desired Return on Investment (%)</t>
  </si>
  <si>
    <t>Agricultural Value of Land (per acre)</t>
  </si>
  <si>
    <t>Percent Split</t>
  </si>
  <si>
    <t>Total Returns of Rubber Content Only</t>
  </si>
  <si>
    <t>Net Returns of Biomass &amp; Rubber</t>
  </si>
  <si>
    <t>Landowner's Required Cash Rent</t>
  </si>
  <si>
    <t>Tenant's Ability to Pay Cash Rent</t>
  </si>
  <si>
    <t>$ per Acre</t>
  </si>
  <si>
    <t>Crop Share Calculations</t>
  </si>
  <si>
    <t>Cash Rent Calculations</t>
  </si>
  <si>
    <t>Annual Net Returns</t>
  </si>
  <si>
    <r>
      <rPr>
        <sz val="10"/>
        <color theme="1"/>
        <rFont val="Calibri (Body)"/>
      </rPr>
      <t>Accumulated</t>
    </r>
    <r>
      <rPr>
        <sz val="11"/>
        <color theme="1"/>
        <rFont val="Calibri"/>
        <family val="2"/>
        <scheme val="minor"/>
      </rPr>
      <t xml:space="preserve"> Net Returns</t>
    </r>
  </si>
  <si>
    <t>Tenant Returns and Costs</t>
  </si>
  <si>
    <t>Landowner Returns and Costs</t>
  </si>
  <si>
    <t>Desired Annual Cash Rent</t>
  </si>
  <si>
    <t>oz</t>
  </si>
  <si>
    <t>Gas</t>
  </si>
  <si>
    <t>200 HP Trac</t>
  </si>
  <si>
    <t>Bankout Wagon</t>
  </si>
  <si>
    <t>450 HP tractor</t>
  </si>
  <si>
    <t>Field Efficiency</t>
  </si>
  <si>
    <t xml:space="preserve">Other Expenses </t>
  </si>
  <si>
    <t>Repair Cost/Hr</t>
  </si>
  <si>
    <t>Acres/Hr</t>
  </si>
  <si>
    <t>Acres/Yr</t>
  </si>
  <si>
    <t>Tractor #</t>
  </si>
  <si>
    <t>Hours/yr</t>
  </si>
  <si>
    <t>LABOR $/Acre</t>
  </si>
  <si>
    <t>FUEL $/Acre</t>
  </si>
  <si>
    <t>REPAIRS $/Acre</t>
  </si>
  <si>
    <t>REPLACE $/Acre</t>
  </si>
  <si>
    <t>Replace Cost/Hr</t>
  </si>
  <si>
    <t>%</t>
  </si>
  <si>
    <t xml:space="preserve">Interest on operating inputs  </t>
  </si>
  <si>
    <t>Total Variable Cash Costs</t>
  </si>
  <si>
    <t>Custom Operations</t>
  </si>
  <si>
    <t>Machine Operations</t>
  </si>
  <si>
    <t>Cash Fixed Costs</t>
  </si>
  <si>
    <t>Non-Cash Fixed Costs: Replacement Costs</t>
  </si>
  <si>
    <t>Operating Interest Rate</t>
  </si>
  <si>
    <t>TOTAL</t>
  </si>
  <si>
    <t>Fertilizer - Anhydrous Applicator (Rent)</t>
  </si>
  <si>
    <t>Useful Life</t>
  </si>
  <si>
    <t>Power Units and Machinery</t>
  </si>
  <si>
    <t>Change</t>
  </si>
  <si>
    <t>Aerial (Custom)</t>
  </si>
  <si>
    <t>NA</t>
  </si>
  <si>
    <t>Crop Insurance</t>
  </si>
  <si>
    <t>% (+/-)</t>
  </si>
  <si>
    <t>Fuel (gallons)</t>
  </si>
  <si>
    <t>Replacement Costs ($)</t>
  </si>
  <si>
    <t>Repairs ($)</t>
  </si>
  <si>
    <t>Type of Rotation</t>
  </si>
  <si>
    <t>Net Returns per Acre</t>
  </si>
  <si>
    <t>Acres of Each Crop</t>
  </si>
  <si>
    <t>Seed Amounts and Prices</t>
  </si>
  <si>
    <t>Table 3. Crop Prices and Yields</t>
  </si>
  <si>
    <t>Spring Barley</t>
  </si>
  <si>
    <t>Seed, pounds</t>
  </si>
  <si>
    <t>Machine Replacement</t>
  </si>
  <si>
    <t>Labor</t>
  </si>
  <si>
    <t>Repairs</t>
  </si>
  <si>
    <t>Labor (hours)</t>
  </si>
  <si>
    <t>Fertilizer Applicator</t>
  </si>
  <si>
    <t>26' Rental Shredder</t>
  </si>
  <si>
    <t>36' Ripper Shooter</t>
  </si>
  <si>
    <t>Acres</t>
  </si>
  <si>
    <t>lb</t>
  </si>
  <si>
    <t>Cultivator</t>
  </si>
  <si>
    <t>Cultiweeder</t>
  </si>
  <si>
    <t>Shredder</t>
  </si>
  <si>
    <t>Harrow</t>
  </si>
  <si>
    <t>Drill</t>
  </si>
  <si>
    <t>Fertilizer Spreader</t>
  </si>
  <si>
    <t>Fertilizers</t>
  </si>
  <si>
    <t>Pesticides</t>
  </si>
  <si>
    <t>All Fertilizers (ton)</t>
  </si>
  <si>
    <t>All Crop Seeds</t>
  </si>
  <si>
    <t>Total Net Returns ($)</t>
  </si>
  <si>
    <t>All Pesticides &amp; Adjuvents (gallons)</t>
  </si>
  <si>
    <t>Per Crop Net Returns</t>
  </si>
  <si>
    <t>Table 2. Total Net Returns and Inputs/Rotation</t>
  </si>
  <si>
    <t>Total Crop Rotation Net Returns</t>
  </si>
  <si>
    <t>All Crop Seeds (pounds)</t>
  </si>
  <si>
    <t>Aspirational</t>
  </si>
  <si>
    <t>INC</t>
  </si>
  <si>
    <t>ASPIRATIONAL</t>
  </si>
  <si>
    <t>BAU</t>
  </si>
  <si>
    <t>ASP</t>
  </si>
  <si>
    <t>Winter Pea</t>
  </si>
  <si>
    <t>Business As Usual</t>
  </si>
  <si>
    <t>Aspirational Rotation</t>
  </si>
  <si>
    <t>Incremental Rotation</t>
  </si>
  <si>
    <t>INCREMENTAL</t>
  </si>
  <si>
    <t>Table 4. Livestock Grazing Inputs</t>
  </si>
  <si>
    <t>Table 5. Production Inputs, $/Unit, Units Applied/Crop, and Crop Insurance Costs</t>
  </si>
  <si>
    <t>ITEM</t>
  </si>
  <si>
    <t>Acres of Land in Grazing Plan</t>
  </si>
  <si>
    <t>HD Treadin Post</t>
  </si>
  <si>
    <t>Turbowire</t>
  </si>
  <si>
    <t>2,624 feet</t>
  </si>
  <si>
    <t>Steel Post HD</t>
  </si>
  <si>
    <t>5.5 feet</t>
  </si>
  <si>
    <t>White Universal t-post Insulator</t>
  </si>
  <si>
    <t>20 pk</t>
  </si>
  <si>
    <t>Galvanized Porta Reel Post</t>
  </si>
  <si>
    <t>Econo Reel</t>
  </si>
  <si>
    <t>Tax</t>
  </si>
  <si>
    <t>TOTAL PER ACRE</t>
  </si>
  <si>
    <t>Water Source</t>
  </si>
  <si>
    <t>Vehicle Expenses</t>
  </si>
  <si>
    <t>Miles</t>
  </si>
  <si>
    <t>Hours</t>
  </si>
  <si>
    <t>Labor Herding Livestock</t>
  </si>
  <si>
    <t>Tanks &amp; Hose</t>
  </si>
  <si>
    <t>Grazing Inputs From Table 4</t>
  </si>
  <si>
    <t>Table 10. Sharing of Production Inputs and Land Valuation</t>
  </si>
  <si>
    <t>Tenant Share of Inputs</t>
  </si>
  <si>
    <t>Seed</t>
  </si>
  <si>
    <t>Land Market Value ($/acre)</t>
  </si>
  <si>
    <t>Property Taxes ($/acre)</t>
  </si>
  <si>
    <t>M. Replace</t>
  </si>
  <si>
    <t>M. Repairs</t>
  </si>
  <si>
    <t>ROI on Land Investment (%)</t>
  </si>
  <si>
    <t>Tenant</t>
  </si>
  <si>
    <t>Landowner</t>
  </si>
  <si>
    <t>Assumed Landowner's Contributions</t>
  </si>
  <si>
    <t>Custom Op</t>
  </si>
  <si>
    <t>Equitable Crop-share Lease (TENANT)</t>
  </si>
  <si>
    <t>Chem-Fallow</t>
  </si>
  <si>
    <t>Interest</t>
  </si>
  <si>
    <t>Years to Amortize Equipment, Materials, etc.</t>
  </si>
  <si>
    <t>Annual Expenses</t>
  </si>
  <si>
    <t>winter wheat after fallow</t>
  </si>
  <si>
    <t>winter wheat after ?</t>
  </si>
  <si>
    <t>three zones/spreadsheets 1. less than 12", 12 to 18; &gt; 18"</t>
  </si>
  <si>
    <t>flex fallow</t>
  </si>
  <si>
    <t>Flex-Fallow</t>
  </si>
  <si>
    <t>Winter Canola</t>
  </si>
  <si>
    <t>Spring Canola</t>
  </si>
  <si>
    <t>Roundup Ready Spring Canola</t>
  </si>
  <si>
    <t>Spring Lentils</t>
  </si>
  <si>
    <t>Crop #</t>
  </si>
  <si>
    <t>Crops Produced for Rotation</t>
  </si>
  <si>
    <t xml:space="preserve">                                </t>
  </si>
  <si>
    <t>Percent of Crop</t>
  </si>
  <si>
    <t>YIELDS</t>
  </si>
  <si>
    <t>NET RETURNS</t>
  </si>
  <si>
    <t>CHEM</t>
  </si>
  <si>
    <r>
      <t>N2</t>
    </r>
    <r>
      <rPr>
        <b/>
        <vertAlign val="superscript"/>
        <sz val="11"/>
        <color theme="1"/>
        <rFont val="Calibri (Body)"/>
      </rPr>
      <t>1</t>
    </r>
  </si>
  <si>
    <r>
      <rPr>
        <vertAlign val="superscript"/>
        <sz val="11"/>
        <color theme="1"/>
        <rFont val="Calibri (Body)"/>
      </rPr>
      <t>1</t>
    </r>
    <r>
      <rPr>
        <sz val="11"/>
        <color theme="1"/>
        <rFont val="Calibri"/>
        <family val="2"/>
        <scheme val="minor"/>
      </rPr>
      <t>30 lbs./A of Phosphorus and 20 lbs./A of Sulphur are applied in all  years</t>
    </r>
  </si>
  <si>
    <t>Custom self-propelled sprayer</t>
  </si>
  <si>
    <t>Incremental</t>
  </si>
  <si>
    <t>GENESSEE - Winter Wheat</t>
  </si>
  <si>
    <t>St. JOHN - Winter Wheat</t>
  </si>
  <si>
    <t>GENESSEE - Spring Wheat</t>
  </si>
  <si>
    <t>St. JOHN - Spring Wheat</t>
  </si>
  <si>
    <t>GENESSEE - Winter Peas</t>
  </si>
  <si>
    <t>St. JOHN - Winter Peas</t>
  </si>
  <si>
    <t>GENESSEE - Chickpeas</t>
  </si>
  <si>
    <t>St. JOHN - Chickpeas</t>
  </si>
  <si>
    <t>Production Costs</t>
  </si>
  <si>
    <t>W. Wheat</t>
  </si>
  <si>
    <t>S. Wheat</t>
  </si>
  <si>
    <t xml:space="preserve"> Winter Peas</t>
  </si>
  <si>
    <t>Chickpeas</t>
  </si>
  <si>
    <t>Cover Crops</t>
  </si>
  <si>
    <t>Fallow</t>
  </si>
  <si>
    <t>Average</t>
  </si>
  <si>
    <t>Accumulative</t>
  </si>
  <si>
    <t>if no fertilizer, erase the $26 for sulfur and phosphorus</t>
  </si>
  <si>
    <t>Upfront/Initial Expenses</t>
  </si>
  <si>
    <t>TOTAL PER ACRE PER YEAR, AFTER AMORTIZATION</t>
  </si>
  <si>
    <t>https://www.uidaho.edu/cals/idaho-agbiz/crop-budgets</t>
  </si>
  <si>
    <t>Grass Hay, production and establishment</t>
  </si>
  <si>
    <t>$15.06 per acre to mow/condition, rake, and bale into small bales.</t>
  </si>
  <si>
    <t>Assuming the producer owned the equipment, valued at $113,000.</t>
  </si>
  <si>
    <t>Genessee</t>
  </si>
  <si>
    <t>St. John</t>
  </si>
  <si>
    <t>Establish Cover Crop</t>
  </si>
  <si>
    <t>Mow/condition, rake, and bale into small bales</t>
  </si>
  <si>
    <t>WW-SW-Chickpea</t>
  </si>
  <si>
    <r>
      <t>WW-</t>
    </r>
    <r>
      <rPr>
        <b/>
        <sz val="11"/>
        <color rgb="FF000000"/>
        <rFont val="Calibri"/>
        <family val="2"/>
        <scheme val="minor"/>
      </rPr>
      <t>Winter Forage crop</t>
    </r>
    <r>
      <rPr>
        <sz val="11"/>
        <color rgb="FF000000"/>
        <rFont val="Calibri"/>
        <family val="2"/>
        <scheme val="minor"/>
      </rPr>
      <t>-Chickpea</t>
    </r>
  </si>
  <si>
    <r>
      <t>WW-SW-</t>
    </r>
    <r>
      <rPr>
        <b/>
        <sz val="11"/>
        <color rgb="FF000000"/>
        <rFont val="Calibri"/>
        <family val="2"/>
        <scheme val="minor"/>
      </rPr>
      <t>Winter pea</t>
    </r>
  </si>
  <si>
    <r>
      <t>WW-SW-</t>
    </r>
    <r>
      <rPr>
        <b/>
        <sz val="11"/>
        <color rgb="FF000000"/>
        <rFont val="Calibri"/>
        <family val="2"/>
        <scheme val="minor"/>
      </rPr>
      <t>Fallow</t>
    </r>
  </si>
  <si>
    <r>
      <t>WW-SW-</t>
    </r>
    <r>
      <rPr>
        <b/>
        <sz val="11"/>
        <color rgb="FF000000"/>
        <rFont val="Calibri"/>
        <family val="2"/>
        <scheme val="minor"/>
      </rPr>
      <t>Winter Pea</t>
    </r>
  </si>
  <si>
    <r>
      <t>WW-SW-</t>
    </r>
    <r>
      <rPr>
        <b/>
        <sz val="11"/>
        <color rgb="FF000000"/>
        <rFont val="Calibri"/>
        <family val="2"/>
        <scheme val="minor"/>
      </rPr>
      <t>Spring Forage crop</t>
    </r>
  </si>
  <si>
    <t>Establish Fencing, etc. to Graze Livestock</t>
  </si>
  <si>
    <r>
      <rPr>
        <vertAlign val="superscript"/>
        <sz val="16"/>
        <color theme="1"/>
        <rFont val="Times New Roman"/>
        <family val="1"/>
      </rPr>
      <t>1</t>
    </r>
    <r>
      <rPr>
        <sz val="16"/>
        <color theme="1"/>
        <rFont val="Times New Roman"/>
        <family val="1"/>
      </rPr>
      <t>Refer to Table 1 for costs to construct and maintain fence with annual expenses.</t>
    </r>
  </si>
  <si>
    <r>
      <rPr>
        <vertAlign val="superscript"/>
        <sz val="16"/>
        <color theme="1"/>
        <rFont val="Times New Roman"/>
        <family val="1"/>
      </rPr>
      <t>2</t>
    </r>
    <r>
      <rPr>
        <sz val="16"/>
        <color theme="1"/>
        <rFont val="Times New Roman"/>
        <family val="1"/>
      </rPr>
      <t>Source: https://www.uidaho.edu/cals/idaho-agbiz/crop-budgets; Grass Hay, production and establishment. Assuming a $113,000 investment in equipment, spread over a 300 acre operation.</t>
    </r>
  </si>
  <si>
    <t>Tons of Biomass Harvested</t>
  </si>
  <si>
    <t>Table 1. Livestock Grazing Upfront Expenses and Annual Maintenance</t>
  </si>
  <si>
    <t>To account for live grazing as 0 acres</t>
  </si>
  <si>
    <t>To account for live grazing as 0 acres as a percent</t>
  </si>
  <si>
    <t>acre</t>
  </si>
  <si>
    <t>pound</t>
  </si>
  <si>
    <t>bu</t>
  </si>
  <si>
    <t>Sprayer (Rental 90')</t>
  </si>
  <si>
    <t>Additional Operation #8 (Custom)</t>
  </si>
  <si>
    <t>pounds of chemicals</t>
  </si>
  <si>
    <t>machinery repairs</t>
  </si>
  <si>
    <t>For Leasing Calculations</t>
  </si>
  <si>
    <t>BAU Crop 1</t>
  </si>
  <si>
    <t>BAU Crop 2</t>
  </si>
  <si>
    <t>BAU Crop 3</t>
  </si>
  <si>
    <t>BAU Crop 4</t>
  </si>
  <si>
    <t>BAU Crop 5</t>
  </si>
  <si>
    <t>INC Crop 1</t>
  </si>
  <si>
    <t>INC Crop 2</t>
  </si>
  <si>
    <t>INC Crop 3</t>
  </si>
  <si>
    <t>INC Crop 4</t>
  </si>
  <si>
    <t>INC Crop 5</t>
  </si>
  <si>
    <t>ASP Crop 1</t>
  </si>
  <si>
    <t>ASP Crop 2</t>
  </si>
  <si>
    <t>ASP Crop 3</t>
  </si>
  <si>
    <t>ASP Crop 4</t>
  </si>
  <si>
    <t>ASP Crop 5</t>
  </si>
  <si>
    <t>INCR</t>
  </si>
  <si>
    <t>pint</t>
  </si>
  <si>
    <t>ton</t>
  </si>
  <si>
    <t>AUM</t>
  </si>
  <si>
    <t>U of I hours of annual use</t>
  </si>
  <si>
    <t>2. Determine which crops have 2x roundup and those with 1x that use fallow</t>
  </si>
  <si>
    <t>3. Determine how to use LIT model and resesarch data, perhaps keep separate and adjust yields, due to chem use, etc.</t>
  </si>
  <si>
    <t>5. Call extension faculty in WSU and U of I for grower volunteers?</t>
  </si>
  <si>
    <t>GENESEE - Winter Wheat</t>
  </si>
  <si>
    <t>GENESEE - Spring Wheat</t>
  </si>
  <si>
    <t>GENESEE - Winter Peas</t>
  </si>
  <si>
    <t>GENESEE - Chickpeas</t>
  </si>
  <si>
    <t>Change in Replacement Costs</t>
  </si>
  <si>
    <t>SW Winter Wheat after Cereal</t>
  </si>
  <si>
    <t>SW Winter Wheat after Fallow</t>
  </si>
  <si>
    <t>SW Spring Wheat</t>
  </si>
  <si>
    <t>HR Winter Wheat</t>
  </si>
  <si>
    <t>Developed by</t>
  </si>
  <si>
    <t>Clark Seavert, Oregon State University</t>
  </si>
  <si>
    <t>Funding provided by the U.S. Department of Agriculture National Institute of Food and Agriculture grant No. 2017-68002-26819.  “Any opinions, findings, conclusions, or recommendations expressed in this publication/work are those of the author and do not necessarily reflect the view of the U.S. Department of Agriculture.”</t>
  </si>
  <si>
    <r>
      <t>The purpose of this interactive tool is to assist growers in the initial decision-making of whether to change to an alternative crop rotation.  If a more detailed analysis is desired consider using one of the AgBiz Logic</t>
    </r>
    <r>
      <rPr>
        <i/>
        <vertAlign val="superscript"/>
        <sz val="12"/>
        <rFont val="Times New Roman"/>
        <family val="1"/>
      </rPr>
      <t>TM</t>
    </r>
    <r>
      <rPr>
        <i/>
        <sz val="12"/>
        <rFont val="Times New Roman"/>
        <family val="1"/>
      </rPr>
      <t xml:space="preserve"> software modules by visiting https://www.agbizlogic.oregonstate.edu. Also consider discussing your decisions with an accountant and/or lender for the income tax implications and impacts to the liquidity and solvency of your business. However, we claim no credit or fault as to the results provided in this analysis and the outcomes should be used with caution. </t>
    </r>
  </si>
  <si>
    <t>Machinery Repairs ($)</t>
  </si>
  <si>
    <t>Machinery Replacement Costs ($)</t>
  </si>
  <si>
    <t>Machinery Labor (hours)</t>
  </si>
  <si>
    <t>Machinery Fuel Use (gallons)</t>
  </si>
  <si>
    <t>SW Winter Wheat (bu)</t>
  </si>
  <si>
    <t>DN Spring Wheat (bu)</t>
  </si>
  <si>
    <t>HR Winter Wheat (bu)</t>
  </si>
  <si>
    <t>Spring Barley (bu)</t>
  </si>
  <si>
    <t>Peas (lb)</t>
  </si>
  <si>
    <t>Chickpeas (lb)</t>
  </si>
  <si>
    <t>Canola (lb)</t>
  </si>
  <si>
    <t>Production</t>
  </si>
  <si>
    <t xml:space="preserve"> </t>
  </si>
  <si>
    <t>SW Winter Spring (bu)</t>
  </si>
  <si>
    <t>Lentils (lb)</t>
  </si>
  <si>
    <t>Forage Crop-Soil Builder Blend</t>
  </si>
  <si>
    <t>Yields per Acre</t>
  </si>
  <si>
    <t>Table 2. Crop Rotations, Crop Acres, and Net Returns/Acre by Crop</t>
  </si>
  <si>
    <t>Table 1. Total Net Returns, Amount of Inputs and Percentage Change from BAU Rotation</t>
  </si>
  <si>
    <t>TOTAL OF AMORTIZED AND ANNUAL EXPENSES</t>
  </si>
  <si>
    <t xml:space="preserve">Fertilizer - Phosphorus- </t>
  </si>
  <si>
    <t>Fertilizer - Anhydrous Ammonia-</t>
  </si>
  <si>
    <t>Fertilizer - Nitrogen-</t>
  </si>
  <si>
    <t>Fertilizer - Potassium-</t>
  </si>
  <si>
    <t>Fertilizer - Sulfur-</t>
  </si>
  <si>
    <t>Adjuvant - Ammonium Sulfate liquid-</t>
  </si>
  <si>
    <t>Adjuvant - Ammonium Sulfate  (other)-</t>
  </si>
  <si>
    <t>Adjuvant-</t>
  </si>
  <si>
    <t>Pesticide-</t>
  </si>
  <si>
    <t xml:space="preserve">crop oil concentrate </t>
  </si>
  <si>
    <t>In-place</t>
  </si>
  <si>
    <t xml:space="preserve">M90 </t>
  </si>
  <si>
    <t>Surfactant</t>
  </si>
  <si>
    <t>Syltac sticker</t>
  </si>
  <si>
    <t xml:space="preserve">Round Up </t>
  </si>
  <si>
    <t>2,4 - D</t>
  </si>
  <si>
    <t>Achieve SC</t>
  </si>
  <si>
    <t>Affintity TankMix</t>
  </si>
  <si>
    <t xml:space="preserve">Ally </t>
  </si>
  <si>
    <t>Assure</t>
  </si>
  <si>
    <t>Axial Star</t>
  </si>
  <si>
    <t>Axial Bold</t>
  </si>
  <si>
    <t>Bronate</t>
  </si>
  <si>
    <t xml:space="preserve">Brox M </t>
  </si>
  <si>
    <t>Capture</t>
  </si>
  <si>
    <t xml:space="preserve">Dimethoate </t>
  </si>
  <si>
    <t>Clethodim</t>
  </si>
  <si>
    <t>Discover</t>
  </si>
  <si>
    <t>FarGO</t>
  </si>
  <si>
    <t>Finesse</t>
  </si>
  <si>
    <t>Glyphosate</t>
  </si>
  <si>
    <t>Huskie</t>
  </si>
  <si>
    <t>Imidan 70</t>
  </si>
  <si>
    <t xml:space="preserve">Maverick </t>
  </si>
  <si>
    <t>Osprey</t>
  </si>
  <si>
    <t>Poast</t>
  </si>
  <si>
    <t>Power Flex</t>
  </si>
  <si>
    <t>Priaxor</t>
  </si>
  <si>
    <t>Prowl</t>
  </si>
  <si>
    <t>Pursuit</t>
  </si>
  <si>
    <t xml:space="preserve">Quadris </t>
  </si>
  <si>
    <t>Quilt</t>
  </si>
  <si>
    <t>R11</t>
  </si>
  <si>
    <t>Starane</t>
  </si>
  <si>
    <t>Starane + Salvo</t>
  </si>
  <si>
    <t xml:space="preserve">Starane + Sword </t>
  </si>
  <si>
    <t xml:space="preserve"> Tilt</t>
  </si>
  <si>
    <t xml:space="preserve">Wildcard </t>
  </si>
  <si>
    <t>Sharpen</t>
  </si>
  <si>
    <t>Sencor</t>
  </si>
  <si>
    <t>Warrior</t>
  </si>
  <si>
    <t xml:space="preserve"> Lorox</t>
  </si>
  <si>
    <t xml:space="preserve"> Valor</t>
  </si>
  <si>
    <t xml:space="preserve"> Diagon</t>
  </si>
  <si>
    <t xml:space="preserve">Spartan </t>
  </si>
  <si>
    <t>Chisel plow</t>
  </si>
  <si>
    <t>Moldboard plow</t>
  </si>
  <si>
    <t>Combine w/ 36' header</t>
  </si>
  <si>
    <t>Fertilizer tanks and pump</t>
  </si>
  <si>
    <t>Boom sprayer</t>
  </si>
  <si>
    <t>Table 6. List of Power Units and Machinery Values, Years of Life, Width and Speed of Operations.</t>
  </si>
  <si>
    <t>Table 7. Interest Rates, Fuel Prices, &amp; Labor Rates</t>
  </si>
  <si>
    <r>
      <t xml:space="preserve">The </t>
    </r>
    <r>
      <rPr>
        <b/>
        <sz val="12"/>
        <rFont val="Times New Roman"/>
        <family val="1"/>
      </rPr>
      <t>Economic Model to Compare Crop Rotations</t>
    </r>
    <r>
      <rPr>
        <sz val="12"/>
        <rFont val="Times New Roman"/>
        <family val="1"/>
      </rPr>
      <t xml:space="preserve"> model is an interactive tool that allows users to compare the whole-farm net returns of changing to an alternative crop rotation to their Business As Usual (BAU).</t>
    </r>
  </si>
  <si>
    <t>The results of a Economic Model to Compare Crop Rotations analysis show the crops planted in each rotation, percent and acres of each crop on a total farm basis, and the per acre net returns for each crop. Table 1 shows the total farm net returns for each rotation as well as total amounts of crop seeds, fertilizers, pesticides, and machinery labor, fuel use, repairs and maintenance. Also included are the total amounts of wheat, barley, peas, chickpeas, canola, and lentils produced in each rotation.</t>
  </si>
  <si>
    <t>SW Winter Wheat after Spring Legume</t>
  </si>
  <si>
    <t>SW Winter Wheat after Forage Crop</t>
  </si>
  <si>
    <t>DN Spring Wheat after Spring Legume</t>
  </si>
  <si>
    <t>DN Spring Wheat after Forage Crop</t>
  </si>
  <si>
    <t>DN Spring Wheat after Winter Crop</t>
  </si>
  <si>
    <t>Chickpea after Forage Crop</t>
  </si>
  <si>
    <t>Chickpea after Cereal</t>
  </si>
  <si>
    <t>Spring Pea after Cereal</t>
  </si>
  <si>
    <t>Forage Crop-St. John Area</t>
  </si>
  <si>
    <t>Forage Crop-Genesee Area</t>
  </si>
  <si>
    <t>Livestock Grazing</t>
  </si>
  <si>
    <r>
      <t xml:space="preserve">Purchase </t>
    </r>
    <r>
      <rPr>
        <b/>
        <sz val="16"/>
        <rFont val="Times New Roman"/>
        <family val="1"/>
      </rPr>
      <t>Price</t>
    </r>
  </si>
  <si>
    <r>
      <t>Enterprise budgets include cash variable and fixed, and non-cash machinery replacement costs.  Users can modify total farm acres, planted acres, per acre yields, prices received, modify machinery parameters, out-of-pocket input costs, machine use, and times each operation occurs during a season, and any custom hire operations (</t>
    </r>
    <r>
      <rPr>
        <b/>
        <sz val="12"/>
        <color rgb="FF3D6DC3"/>
        <rFont val="Times New Roman"/>
        <family val="1"/>
      </rPr>
      <t>blue font</t>
    </r>
    <r>
      <rPr>
        <sz val="12"/>
        <color theme="1"/>
        <rFont val="Times New Roman"/>
        <family val="1"/>
      </rPr>
      <t>). Not included in budgets are: family living withdrawals for unpaid labor, returns to management and land, depreciation and opportunity costs for vehicles, buildings and improvements, and federal, state, and local income and property taxes.</t>
    </r>
  </si>
  <si>
    <t xml:space="preserve">Tandem Axle Truck </t>
  </si>
  <si>
    <t>Table 8. List of Machinery Operations and Number of Applications per Season.</t>
  </si>
  <si>
    <t>Fuel Use/Hour</t>
  </si>
  <si>
    <t>Table 9. Operations that are Custom Hired or Equipment Rented</t>
  </si>
  <si>
    <t>Economic Model to Compare Crop Rotations</t>
  </si>
  <si>
    <r>
      <t>Ouputs for Each Crop Rotation</t>
    </r>
    <r>
      <rPr>
        <b/>
        <vertAlign val="superscript"/>
        <sz val="16"/>
        <color theme="1"/>
        <rFont val="Times New Roman"/>
        <family val="1"/>
      </rPr>
      <t>1</t>
    </r>
  </si>
  <si>
    <r>
      <rPr>
        <vertAlign val="superscript"/>
        <sz val="16"/>
        <color theme="1"/>
        <rFont val="Times New Roman"/>
        <family val="1"/>
      </rPr>
      <t>1</t>
    </r>
    <r>
      <rPr>
        <sz val="16"/>
        <color theme="1"/>
        <rFont val="Times New Roman"/>
        <family val="1"/>
      </rPr>
      <t xml:space="preserve">Units, dollars per unit, and quantities in the "Prices,Yields&amp;SeedInputs" sheet should be in the units shown in </t>
    </r>
    <r>
      <rPr>
        <b/>
        <sz val="16"/>
        <color theme="1"/>
        <rFont val="Times New Roman"/>
        <family val="1"/>
      </rPr>
      <t>Outputs for Each Crop Rotation</t>
    </r>
    <r>
      <rPr>
        <sz val="16"/>
        <color theme="1"/>
        <rFont val="Times New Roman"/>
        <family val="1"/>
      </rPr>
      <t xml:space="preserve"> section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</si>
</sst>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0"/>
    <numFmt numFmtId="166" formatCode="0_)"/>
    <numFmt numFmtId="167" formatCode="0.0"/>
    <numFmt numFmtId="168" formatCode="_(* #,##0.0_);_(* \(#,##0.0\);_(* &quot;-&quot;??_);_(@_)"/>
    <numFmt numFmtId="169" formatCode="_(* #,##0.0_);_(* \(#,##0.0\);_(* &quot;-&quot;?_);_(@_)"/>
    <numFmt numFmtId="170" formatCode="&quot;$&quot;#,##0"/>
    <numFmt numFmtId="171" formatCode="_(* #,##0_);_(* \(#,##0\);_(* &quot;-&quot;??_);_(@_)"/>
    <numFmt numFmtId="172" formatCode="_(* #,##0.000_);_(* \(#,##0.000\);_(* &quot;-&quot;??_);_(@_)"/>
    <numFmt numFmtId="173" formatCode="&quot;$&quot;#,##0.00"/>
    <numFmt numFmtId="174" formatCode=";;;"/>
    <numFmt numFmtId="175" formatCode="0.0_);[Red]\(0.0\)"/>
    <numFmt numFmtId="176" formatCode="_(* #,##0.0000_);_(* \(#,##0.0000\);_(* &quot;-&quot;??_);_(@_)"/>
    <numFmt numFmtId="177" formatCode="_(&quot;$&quot;* #,##0_);_(&quot;$&quot;* \(#,##0\);_(&quot;$&quot;* &quot;-&quot;??_);_(@_)"/>
  </numFmts>
  <fonts count="11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Verdana"/>
      <family val="2"/>
    </font>
    <font>
      <u/>
      <sz val="8.5"/>
      <color theme="10"/>
      <name val="Verdana"/>
      <family val="2"/>
    </font>
    <font>
      <sz val="10"/>
      <name val="Arial"/>
      <family val="2"/>
    </font>
    <font>
      <sz val="11"/>
      <color indexed="8"/>
      <name val="Calibri"/>
      <family val="2"/>
    </font>
    <font>
      <u/>
      <sz val="10"/>
      <color indexed="12"/>
      <name val="Arial"/>
      <family val="2"/>
    </font>
    <font>
      <b/>
      <sz val="12"/>
      <name val="Times New Roman"/>
      <family val="1"/>
    </font>
    <font>
      <sz val="10"/>
      <name val="Helv"/>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2"/>
      <name val="Times"/>
      <family val="1"/>
    </font>
    <font>
      <sz val="10"/>
      <color indexed="8"/>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52"/>
      <name val="Calibri"/>
      <family val="2"/>
    </font>
    <font>
      <sz val="11"/>
      <color indexed="60"/>
      <name val="Calibri"/>
      <family val="2"/>
    </font>
    <font>
      <b/>
      <sz val="18"/>
      <color indexed="56"/>
      <name val="Cambria"/>
      <family val="1"/>
    </font>
    <font>
      <sz val="9"/>
      <name val="Times New Roman"/>
      <family val="1"/>
    </font>
    <font>
      <b/>
      <sz val="9"/>
      <name val="Times New Roman"/>
      <family val="1"/>
    </font>
    <font>
      <sz val="8"/>
      <name val="Helvetica"/>
      <family val="2"/>
    </font>
    <font>
      <b/>
      <sz val="15"/>
      <color indexed="62"/>
      <name val="Calibri"/>
      <family val="2"/>
    </font>
    <font>
      <b/>
      <sz val="13"/>
      <color indexed="62"/>
      <name val="Calibri"/>
      <family val="2"/>
    </font>
    <font>
      <b/>
      <sz val="11"/>
      <color indexed="62"/>
      <name val="Calibri"/>
      <family val="2"/>
    </font>
    <font>
      <b/>
      <sz val="18"/>
      <color indexed="62"/>
      <name val="Cambria"/>
      <family val="1"/>
    </font>
    <font>
      <b/>
      <sz val="11"/>
      <color indexed="10"/>
      <name val="Calibri"/>
      <family val="2"/>
    </font>
    <font>
      <sz val="11"/>
      <color indexed="19"/>
      <name val="Calibri"/>
      <family val="2"/>
    </font>
    <font>
      <b/>
      <sz val="11"/>
      <color theme="1"/>
      <name val="Calibri"/>
      <family val="2"/>
      <scheme val="minor"/>
    </font>
    <font>
      <b/>
      <sz val="11"/>
      <color rgb="FFFF0000"/>
      <name val="Calibri"/>
      <family val="2"/>
      <scheme val="minor"/>
    </font>
    <font>
      <sz val="10"/>
      <color theme="1"/>
      <name val="Calibri"/>
      <family val="2"/>
      <scheme val="minor"/>
    </font>
    <font>
      <sz val="11"/>
      <name val="Times New Roman"/>
      <family val="1"/>
    </font>
    <font>
      <u/>
      <sz val="11"/>
      <color theme="1"/>
      <name val="Calibri"/>
      <family val="2"/>
      <scheme val="minor"/>
    </font>
    <font>
      <sz val="16"/>
      <color theme="1"/>
      <name val="Calibri"/>
      <family val="2"/>
      <scheme val="minor"/>
    </font>
    <font>
      <b/>
      <sz val="16"/>
      <color theme="1"/>
      <name val="Times New Roman"/>
      <family val="1"/>
    </font>
    <font>
      <sz val="16"/>
      <color theme="1"/>
      <name val="Times New Roman"/>
      <family val="1"/>
    </font>
    <font>
      <sz val="16"/>
      <color rgb="FFFF0000"/>
      <name val="Times New Roman"/>
      <family val="1"/>
    </font>
    <font>
      <sz val="16"/>
      <name val="Times New Roman"/>
      <family val="1"/>
    </font>
    <font>
      <sz val="16"/>
      <name val="Calibri"/>
      <family val="2"/>
      <scheme val="minor"/>
    </font>
    <font>
      <b/>
      <sz val="16"/>
      <color rgb="FFC00000"/>
      <name val="Calibri"/>
      <family val="2"/>
      <scheme val="minor"/>
    </font>
    <font>
      <u/>
      <sz val="16"/>
      <color theme="1"/>
      <name val="Times New Roman"/>
      <family val="1"/>
    </font>
    <font>
      <b/>
      <i/>
      <sz val="18"/>
      <color theme="1"/>
      <name val="Times New Roman"/>
      <family val="1"/>
    </font>
    <font>
      <sz val="16"/>
      <color rgb="FF000000"/>
      <name val="Times New Roman"/>
      <family val="1"/>
    </font>
    <font>
      <b/>
      <sz val="16"/>
      <color rgb="FFFF0000"/>
      <name val="Times New Roman"/>
      <family val="1"/>
    </font>
    <font>
      <sz val="11"/>
      <color theme="1"/>
      <name val="Times New Roman"/>
      <family val="1"/>
    </font>
    <font>
      <sz val="16"/>
      <color theme="1"/>
      <name val="Calibri (Body)"/>
    </font>
    <font>
      <i/>
      <sz val="16"/>
      <color theme="1"/>
      <name val="Calibri (Body)"/>
    </font>
    <font>
      <sz val="8"/>
      <name val="Calibri"/>
      <family val="2"/>
      <scheme val="minor"/>
    </font>
    <font>
      <sz val="10"/>
      <color theme="1"/>
      <name val="Calibri (Body)"/>
    </font>
    <font>
      <sz val="16"/>
      <color rgb="FF0070C0"/>
      <name val="Times New Roman"/>
      <family val="1"/>
    </font>
    <font>
      <sz val="11"/>
      <color rgb="FF0070C0"/>
      <name val="Calibri"/>
      <family val="2"/>
      <scheme val="minor"/>
    </font>
    <font>
      <b/>
      <sz val="16"/>
      <color rgb="FF0070C0"/>
      <name val="Calibri"/>
      <family val="2"/>
      <scheme val="minor"/>
    </font>
    <font>
      <sz val="16"/>
      <color rgb="FF0070C0"/>
      <name val="Calibri"/>
      <family val="2"/>
      <scheme val="minor"/>
    </font>
    <font>
      <b/>
      <i/>
      <sz val="16"/>
      <color rgb="FF0070C0"/>
      <name val="Calibri"/>
      <family val="2"/>
      <scheme val="minor"/>
    </font>
    <font>
      <sz val="16"/>
      <color rgb="FF0070C0"/>
      <name val="Calibri (Body)"/>
    </font>
    <font>
      <b/>
      <i/>
      <sz val="16"/>
      <color theme="1"/>
      <name val="Times New Roman"/>
      <family val="1"/>
    </font>
    <font>
      <b/>
      <sz val="16"/>
      <color rgb="FFFF0000"/>
      <name val="Calibri"/>
      <family val="2"/>
      <scheme val="minor"/>
    </font>
    <font>
      <b/>
      <sz val="16"/>
      <color rgb="FF000000"/>
      <name val="Times New Roman"/>
      <family val="1"/>
    </font>
    <font>
      <sz val="11"/>
      <color rgb="FFFF0000"/>
      <name val="Calibri"/>
      <family val="2"/>
      <scheme val="minor"/>
    </font>
    <font>
      <b/>
      <i/>
      <sz val="16"/>
      <color rgb="FFFF0000"/>
      <name val="Calibri"/>
      <family val="2"/>
      <scheme val="minor"/>
    </font>
    <font>
      <b/>
      <sz val="16"/>
      <color theme="1"/>
      <name val="Calibri"/>
      <family val="2"/>
      <scheme val="minor"/>
    </font>
    <font>
      <sz val="14"/>
      <color theme="1"/>
      <name val="Times New Roman"/>
      <family val="1"/>
    </font>
    <font>
      <sz val="11"/>
      <color theme="8"/>
      <name val="Calibri"/>
      <family val="2"/>
      <scheme val="minor"/>
    </font>
    <font>
      <b/>
      <sz val="16"/>
      <color theme="8"/>
      <name val="Calibri"/>
      <family val="2"/>
      <scheme val="minor"/>
    </font>
    <font>
      <sz val="16"/>
      <color theme="8"/>
      <name val="Times New Roman"/>
      <family val="1"/>
    </font>
    <font>
      <u val="singleAccounting"/>
      <sz val="11"/>
      <color theme="1"/>
      <name val="Calibri"/>
      <family val="2"/>
      <scheme val="minor"/>
    </font>
    <font>
      <sz val="11"/>
      <color rgb="FF000000"/>
      <name val="Calibri"/>
      <family val="2"/>
      <scheme val="minor"/>
    </font>
    <font>
      <b/>
      <sz val="15.5"/>
      <color theme="1"/>
      <name val="Times New Roman"/>
      <family val="1"/>
    </font>
    <font>
      <b/>
      <sz val="15.5"/>
      <color rgb="FF0070C0"/>
      <name val="Times New Roman"/>
      <family val="1"/>
    </font>
    <font>
      <b/>
      <sz val="16"/>
      <color rgb="FF0070C0"/>
      <name val="Times New Roman"/>
      <family val="1"/>
    </font>
    <font>
      <sz val="12"/>
      <color rgb="FF0070C0"/>
      <name val="Times New Roman"/>
      <family val="1"/>
    </font>
    <font>
      <b/>
      <vertAlign val="superscript"/>
      <sz val="11"/>
      <color theme="1"/>
      <name val="Calibri (Body)"/>
    </font>
    <font>
      <vertAlign val="superscript"/>
      <sz val="11"/>
      <color theme="1"/>
      <name val="Calibri (Body)"/>
    </font>
    <font>
      <u/>
      <sz val="11"/>
      <color theme="10"/>
      <name val="Calibri"/>
      <family val="2"/>
      <scheme val="minor"/>
    </font>
    <font>
      <sz val="18"/>
      <color theme="1"/>
      <name val="Times New Roman"/>
      <family val="1"/>
    </font>
    <font>
      <b/>
      <sz val="11"/>
      <color rgb="FF000000"/>
      <name val="Calibri"/>
      <family val="2"/>
      <scheme val="minor"/>
    </font>
    <font>
      <vertAlign val="superscript"/>
      <sz val="16"/>
      <color theme="1"/>
      <name val="Times New Roman"/>
      <family val="1"/>
    </font>
    <font>
      <sz val="12"/>
      <color theme="1"/>
      <name val="Times New Roman"/>
      <family val="1"/>
    </font>
    <font>
      <sz val="16"/>
      <color rgb="FF3D6DC3"/>
      <name val="Calibri"/>
      <family val="2"/>
      <scheme val="minor"/>
    </font>
    <font>
      <sz val="16"/>
      <color rgb="FF3D6DC3"/>
      <name val="Times New Roman"/>
      <family val="1"/>
    </font>
    <font>
      <b/>
      <sz val="16"/>
      <color rgb="FF3D6DC3"/>
      <name val="Calibri"/>
      <family val="2"/>
      <scheme val="minor"/>
    </font>
    <font>
      <sz val="11"/>
      <color rgb="FF3D6DC3"/>
      <name val="Calibri"/>
      <family val="2"/>
      <scheme val="minor"/>
    </font>
    <font>
      <sz val="12"/>
      <color rgb="FF3D6DC3"/>
      <name val="Calibri"/>
      <family val="2"/>
      <scheme val="minor"/>
    </font>
    <font>
      <i/>
      <sz val="16"/>
      <color rgb="FF3D6DC3"/>
      <name val="Calibri"/>
      <family val="2"/>
      <scheme val="minor"/>
    </font>
    <font>
      <sz val="16"/>
      <color rgb="FF3D6DC3"/>
      <name val="Calibri (Body)"/>
    </font>
    <font>
      <i/>
      <sz val="16"/>
      <color rgb="FF3D6DC3"/>
      <name val="Calibri (Body)"/>
    </font>
    <font>
      <sz val="12"/>
      <name val="Times New Roman"/>
      <family val="1"/>
    </font>
    <font>
      <i/>
      <sz val="12"/>
      <name val="Times New Roman"/>
      <family val="1"/>
    </font>
    <font>
      <i/>
      <vertAlign val="superscript"/>
      <sz val="12"/>
      <name val="Times New Roman"/>
      <family val="1"/>
    </font>
    <font>
      <b/>
      <sz val="20"/>
      <color theme="1"/>
      <name val="Times New Roman"/>
      <family val="1"/>
    </font>
    <font>
      <b/>
      <sz val="12"/>
      <color theme="1"/>
      <name val="Times New Roman"/>
      <family val="1"/>
    </font>
    <font>
      <sz val="12"/>
      <color rgb="FFC00000"/>
      <name val="Times New Roman"/>
      <family val="1"/>
    </font>
    <font>
      <sz val="11"/>
      <color rgb="FFC00000"/>
      <name val="Calibri"/>
      <family val="2"/>
      <scheme val="minor"/>
    </font>
    <font>
      <b/>
      <sz val="12"/>
      <color rgb="FF3D6DC3"/>
      <name val="Times New Roman"/>
      <family val="1"/>
    </font>
    <font>
      <b/>
      <sz val="16"/>
      <name val="Times New Roman"/>
      <family val="1"/>
    </font>
    <font>
      <b/>
      <sz val="16"/>
      <color rgb="FFC00000"/>
      <name val="Times New Roman"/>
      <family val="1"/>
    </font>
    <font>
      <b/>
      <vertAlign val="superscript"/>
      <sz val="16"/>
      <color theme="1"/>
      <name val="Times New Roman"/>
      <family val="1"/>
    </font>
  </fonts>
  <fills count="34">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22"/>
        <bgColor indexed="64"/>
      </patternFill>
    </fill>
    <fill>
      <patternFill patternType="darkTrellis"/>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medium">
        <color indexed="27"/>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style="thin">
        <color indexed="64"/>
      </left>
      <right/>
      <top/>
      <bottom/>
      <diagonal/>
    </border>
    <border>
      <left/>
      <right style="thin">
        <color indexed="64"/>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medium">
        <color indexed="27"/>
      </bottom>
      <diagonal/>
    </border>
    <border>
      <left/>
      <right/>
      <top/>
      <bottom style="medium">
        <color indexed="30"/>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auto="1"/>
      </top>
      <bottom/>
      <diagonal/>
    </border>
    <border>
      <left/>
      <right/>
      <top style="thin">
        <color indexed="64"/>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33025">
    <xf numFmtId="0" fontId="0" fillId="0" borderId="0"/>
    <xf numFmtId="9" fontId="6" fillId="0" borderId="0" applyFont="0" applyFill="0" applyBorder="0" applyAlignment="0" applyProtection="0"/>
    <xf numFmtId="0" fontId="7" fillId="0" borderId="0"/>
    <xf numFmtId="0" fontId="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 fillId="0" borderId="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49" fontId="33" fillId="0" borderId="1" applyNumberFormat="0" applyFont="0" applyFill="0" applyBorder="0" applyProtection="0">
      <alignment horizontal="left" vertical="center" indent="2"/>
    </xf>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49" fontId="33" fillId="0" borderId="3" applyNumberFormat="0" applyFont="0" applyFill="0" applyBorder="0" applyProtection="0">
      <alignment horizontal="left" vertical="center" indent="5"/>
    </xf>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13"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5" fillId="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4" fontId="34" fillId="0" borderId="2" applyFill="0" applyBorder="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36"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37"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2" fillId="0" borderId="0" applyNumberFormat="0" applyFill="0" applyBorder="0" applyAlignment="0" applyProtection="0"/>
    <xf numFmtId="0" fontId="2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0" fillId="0" borderId="12"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20" fillId="0" borderId="12" applyNumberFormat="0" applyFill="0" applyAlignment="0" applyProtection="0"/>
    <xf numFmtId="0" fontId="4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4"/>
    <xf numFmtId="0" fontId="9" fillId="0" borderId="14"/>
    <xf numFmtId="0" fontId="9" fillId="0" borderId="0"/>
    <xf numFmtId="0" fontId="9" fillId="0" borderId="14"/>
    <xf numFmtId="0" fontId="9" fillId="0" borderId="14"/>
    <xf numFmtId="0" fontId="9" fillId="0" borderId="14"/>
    <xf numFmtId="0" fontId="9" fillId="0" borderId="14"/>
    <xf numFmtId="0" fontId="24"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9" fillId="0" borderId="1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35" fillId="27" borderId="0" applyNumberFormat="0" applyFont="0" applyBorder="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9" fontId="9" fillId="0" borderId="0" applyFont="0" applyFill="0" applyBorder="0" applyAlignment="0" applyProtection="0"/>
    <xf numFmtId="164" fontId="9" fillId="0" borderId="0" applyFont="0" applyFill="0" applyBorder="0" applyAlignment="0" applyProtection="0"/>
    <xf numFmtId="166" fontId="13" fillId="0" borderId="0"/>
    <xf numFmtId="11" fontId="13" fillId="0" borderId="0" applyFont="0" applyFill="0" applyBorder="0" applyAlignment="0" applyProtection="0"/>
    <xf numFmtId="0" fontId="3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3" fontId="7" fillId="0" borderId="0" applyFont="0" applyFill="0" applyBorder="0" applyAlignment="0" applyProtection="0"/>
    <xf numFmtId="9" fontId="7" fillId="0" borderId="0" applyFont="0" applyFill="0" applyBorder="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0" borderId="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9"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33" fillId="0" borderId="19"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49" fontId="33" fillId="0" borderId="3" applyNumberFormat="0" applyFont="0" applyFill="0" applyBorder="0" applyProtection="0">
      <alignment horizontal="left" vertical="center" indent="5"/>
    </xf>
    <xf numFmtId="0" fontId="28" fillId="0" borderId="22"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22" applyNumberFormat="0" applyFill="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9"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9" applyFill="0" applyBorder="0" applyProtection="0">
      <alignment horizontal="right" vertical="center"/>
    </xf>
    <xf numFmtId="0" fontId="22" fillId="0" borderId="17"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9"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9"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22"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9"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9"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7" applyNumberFormat="0" applyFill="0" applyAlignment="0" applyProtection="0"/>
    <xf numFmtId="49" fontId="34" fillId="0" borderId="19" applyNumberFormat="0" applyFill="0" applyBorder="0" applyProtection="0">
      <alignment horizontal="left" vertical="center"/>
    </xf>
    <xf numFmtId="0" fontId="28" fillId="0" borderId="22"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9"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9"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21"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10"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9" fontId="33" fillId="0" borderId="26" applyNumberFormat="0" applyFont="0" applyFill="0" applyBorder="0" applyProtection="0">
      <alignment horizontal="left" vertical="center" indent="5"/>
    </xf>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4" fontId="6" fillId="0" borderId="0" applyFont="0" applyFill="0" applyBorder="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0" fontId="19" fillId="11"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21" fillId="25" borderId="23"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4" fontId="33" fillId="0" borderId="19" applyFill="0" applyBorder="0" applyProtection="0">
      <alignment horizontal="right" vertical="center"/>
    </xf>
    <xf numFmtId="0" fontId="22" fillId="0" borderId="24"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40" fillId="24"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1" fillId="24"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19" fillId="11" borderId="27" applyNumberFormat="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1" fillId="24" borderId="23"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40" fillId="24"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2" fillId="0" borderId="25" applyNumberFormat="0" applyFill="0" applyAlignment="0" applyProtection="0"/>
    <xf numFmtId="0" fontId="19" fillId="11"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4" borderId="23" applyNumberFormat="0" applyAlignment="0" applyProtection="0"/>
    <xf numFmtId="0" fontId="19" fillId="8" borderId="27" applyNumberFormat="0" applyAlignment="0" applyProtection="0"/>
    <xf numFmtId="0" fontId="21" fillId="24"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4" borderId="23"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4" applyNumberFormat="0" applyFill="0" applyAlignment="0" applyProtection="0"/>
    <xf numFmtId="0" fontId="19" fillId="11"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5" fillId="0" borderId="0"/>
    <xf numFmtId="9" fontId="5" fillId="0" borderId="0" applyFont="0" applyFill="0" applyBorder="0" applyAlignment="0" applyProtection="0"/>
    <xf numFmtId="0" fontId="4" fillId="0" borderId="0"/>
    <xf numFmtId="43" fontId="6" fillId="0" borderId="0" applyFont="0" applyFill="0" applyBorder="0" applyAlignment="0" applyProtection="0"/>
    <xf numFmtId="0" fontId="45" fillId="0" borderId="0"/>
    <xf numFmtId="0" fontId="3" fillId="0" borderId="0"/>
    <xf numFmtId="0" fontId="87" fillId="0" borderId="0" applyNumberFormat="0" applyFill="0" applyBorder="0" applyAlignment="0" applyProtection="0"/>
  </cellStyleXfs>
  <cellXfs count="732">
    <xf numFmtId="0" fontId="0" fillId="0" borderId="0" xfId="0"/>
    <xf numFmtId="2" fontId="0" fillId="0" borderId="0" xfId="0" applyNumberFormat="1"/>
    <xf numFmtId="0" fontId="49" fillId="0" borderId="0" xfId="0" applyFont="1"/>
    <xf numFmtId="0" fontId="0" fillId="29" borderId="0" xfId="0" applyFill="1"/>
    <xf numFmtId="6" fontId="49" fillId="29" borderId="0" xfId="20251" applyNumberFormat="1" applyFont="1" applyFill="1" applyBorder="1" applyProtection="1"/>
    <xf numFmtId="0" fontId="49" fillId="29" borderId="0" xfId="0" applyFont="1" applyFill="1"/>
    <xf numFmtId="0" fontId="49" fillId="29" borderId="36" xfId="0" applyFont="1" applyFill="1" applyBorder="1" applyAlignment="1">
      <alignment horizontal="center"/>
    </xf>
    <xf numFmtId="0" fontId="49" fillId="29" borderId="36" xfId="0" applyFont="1" applyFill="1" applyBorder="1" applyAlignment="1">
      <alignment horizontal="right"/>
    </xf>
    <xf numFmtId="0" fontId="49" fillId="29" borderId="0" xfId="0" applyFont="1" applyFill="1" applyAlignment="1">
      <alignment horizontal="center"/>
    </xf>
    <xf numFmtId="0" fontId="48" fillId="29" borderId="0" xfId="0" applyFont="1" applyFill="1" applyProtection="1">
      <protection locked="0"/>
    </xf>
    <xf numFmtId="7" fontId="49" fillId="29" borderId="0" xfId="0" applyNumberFormat="1" applyFont="1" applyFill="1" applyProtection="1">
      <protection locked="0"/>
    </xf>
    <xf numFmtId="0" fontId="49" fillId="29" borderId="0" xfId="0" applyFont="1" applyFill="1" applyProtection="1">
      <protection locked="0"/>
    </xf>
    <xf numFmtId="0" fontId="49" fillId="29" borderId="36" xfId="0" applyFont="1" applyFill="1" applyBorder="1" applyAlignment="1" applyProtection="1">
      <alignment horizontal="center"/>
      <protection locked="0"/>
    </xf>
    <xf numFmtId="7" fontId="49" fillId="29" borderId="36" xfId="0" applyNumberFormat="1" applyFont="1" applyFill="1" applyBorder="1" applyAlignment="1" applyProtection="1">
      <alignment horizontal="right"/>
      <protection locked="0"/>
    </xf>
    <xf numFmtId="0" fontId="49" fillId="29" borderId="36" xfId="0" applyFont="1" applyFill="1" applyBorder="1" applyAlignment="1" applyProtection="1">
      <alignment horizontal="right"/>
      <protection locked="0"/>
    </xf>
    <xf numFmtId="7" fontId="49" fillId="29" borderId="0" xfId="0" applyNumberFormat="1" applyFont="1" applyFill="1" applyAlignment="1" applyProtection="1">
      <alignment horizontal="center"/>
      <protection locked="0"/>
    </xf>
    <xf numFmtId="0" fontId="49" fillId="29" borderId="0" xfId="0" applyFont="1" applyFill="1" applyAlignment="1" applyProtection="1">
      <alignment horizontal="center"/>
      <protection locked="0"/>
    </xf>
    <xf numFmtId="0" fontId="49" fillId="29" borderId="40" xfId="0" applyFont="1" applyFill="1" applyBorder="1" applyAlignment="1" applyProtection="1">
      <alignment horizontal="center"/>
      <protection locked="0"/>
    </xf>
    <xf numFmtId="7" fontId="49" fillId="29" borderId="40" xfId="0" applyNumberFormat="1" applyFont="1" applyFill="1" applyBorder="1" applyAlignment="1" applyProtection="1">
      <alignment horizontal="right"/>
      <protection locked="0"/>
    </xf>
    <xf numFmtId="0" fontId="49" fillId="29" borderId="40" xfId="0" applyFont="1" applyFill="1" applyBorder="1" applyAlignment="1" applyProtection="1">
      <alignment horizontal="right"/>
      <protection locked="0"/>
    </xf>
    <xf numFmtId="0" fontId="48" fillId="29" borderId="0" xfId="0" quotePrefix="1" applyFont="1" applyFill="1" applyProtection="1">
      <protection locked="0"/>
    </xf>
    <xf numFmtId="0" fontId="55" fillId="29" borderId="40" xfId="0" applyFont="1" applyFill="1" applyBorder="1" applyProtection="1">
      <protection locked="0"/>
    </xf>
    <xf numFmtId="0" fontId="48" fillId="29" borderId="0" xfId="0" applyFont="1" applyFill="1"/>
    <xf numFmtId="7" fontId="48" fillId="29" borderId="0" xfId="0" applyNumberFormat="1" applyFont="1" applyFill="1" applyProtection="1">
      <protection locked="0"/>
    </xf>
    <xf numFmtId="0" fontId="48" fillId="29" borderId="36" xfId="0" applyFont="1" applyFill="1" applyBorder="1" applyProtection="1">
      <protection locked="0"/>
    </xf>
    <xf numFmtId="0" fontId="48" fillId="29" borderId="36" xfId="0" applyFont="1" applyFill="1" applyBorder="1"/>
    <xf numFmtId="7" fontId="48" fillId="29" borderId="36" xfId="0" applyNumberFormat="1" applyFont="1" applyFill="1" applyBorder="1" applyProtection="1">
      <protection locked="0"/>
    </xf>
    <xf numFmtId="173" fontId="49" fillId="29" borderId="0" xfId="0" applyNumberFormat="1" applyFont="1" applyFill="1" applyProtection="1">
      <protection locked="0"/>
    </xf>
    <xf numFmtId="173" fontId="54" fillId="29" borderId="0" xfId="20251" applyNumberFormat="1" applyFont="1" applyFill="1" applyProtection="1">
      <protection locked="0"/>
    </xf>
    <xf numFmtId="9" fontId="48" fillId="29" borderId="0" xfId="0" applyNumberFormat="1" applyFont="1" applyFill="1" applyAlignment="1">
      <alignment horizontal="center"/>
    </xf>
    <xf numFmtId="0" fontId="48" fillId="29" borderId="0" xfId="0" quotePrefix="1" applyFont="1" applyFill="1" applyAlignment="1">
      <alignment horizontal="center"/>
    </xf>
    <xf numFmtId="10" fontId="49" fillId="29" borderId="0" xfId="1" applyNumberFormat="1" applyFont="1" applyFill="1"/>
    <xf numFmtId="173" fontId="49" fillId="29" borderId="0" xfId="0" applyNumberFormat="1" applyFont="1" applyFill="1" applyAlignment="1" applyProtection="1">
      <alignment horizontal="center"/>
      <protection locked="0"/>
    </xf>
    <xf numFmtId="173" fontId="49" fillId="29" borderId="0" xfId="0" applyNumberFormat="1" applyFont="1" applyFill="1" applyAlignment="1" applyProtection="1">
      <alignment horizontal="right"/>
      <protection locked="0"/>
    </xf>
    <xf numFmtId="173" fontId="54" fillId="29" borderId="0" xfId="0" applyNumberFormat="1" applyFont="1" applyFill="1" applyAlignment="1" applyProtection="1">
      <alignment horizontal="right"/>
      <protection locked="0"/>
    </xf>
    <xf numFmtId="173" fontId="49" fillId="29" borderId="0" xfId="0" applyNumberFormat="1" applyFont="1" applyFill="1"/>
    <xf numFmtId="173" fontId="49" fillId="29" borderId="36" xfId="0" applyNumberFormat="1" applyFont="1" applyFill="1" applyBorder="1" applyAlignment="1" applyProtection="1">
      <alignment horizontal="right"/>
      <protection locked="0"/>
    </xf>
    <xf numFmtId="173" fontId="48" fillId="29" borderId="0" xfId="0" applyNumberFormat="1" applyFont="1" applyFill="1" applyProtection="1">
      <protection locked="0"/>
    </xf>
    <xf numFmtId="173" fontId="48" fillId="29" borderId="0" xfId="0" quotePrefix="1" applyNumberFormat="1" applyFont="1" applyFill="1" applyProtection="1">
      <protection locked="0"/>
    </xf>
    <xf numFmtId="173" fontId="48" fillId="29" borderId="36" xfId="0" applyNumberFormat="1" applyFont="1" applyFill="1" applyBorder="1"/>
    <xf numFmtId="8" fontId="0" fillId="0" borderId="0" xfId="0" applyNumberFormat="1"/>
    <xf numFmtId="0" fontId="0" fillId="0" borderId="0" xfId="0" applyAlignment="1">
      <alignment horizontal="center"/>
    </xf>
    <xf numFmtId="0" fontId="49" fillId="29" borderId="36" xfId="0" applyFont="1" applyFill="1" applyBorder="1"/>
    <xf numFmtId="0" fontId="49" fillId="29" borderId="0" xfId="0" quotePrefix="1" applyFont="1" applyFill="1" applyAlignment="1">
      <alignment horizontal="center"/>
    </xf>
    <xf numFmtId="0" fontId="0" fillId="0" borderId="35" xfId="0" applyBorder="1"/>
    <xf numFmtId="6" fontId="0" fillId="0" borderId="0" xfId="0" applyNumberFormat="1"/>
    <xf numFmtId="10" fontId="0" fillId="0" borderId="0" xfId="1" applyNumberFormat="1" applyFont="1" applyAlignment="1">
      <alignment horizontal="center"/>
    </xf>
    <xf numFmtId="10" fontId="42" fillId="0" borderId="0" xfId="1" applyNumberFormat="1" applyFont="1"/>
    <xf numFmtId="0" fontId="0" fillId="0" borderId="43" xfId="0" applyBorder="1"/>
    <xf numFmtId="6" fontId="0" fillId="0" borderId="35" xfId="0" applyNumberFormat="1" applyBorder="1"/>
    <xf numFmtId="6" fontId="43" fillId="0" borderId="0" xfId="0" applyNumberFormat="1" applyFont="1" applyProtection="1">
      <protection locked="0"/>
    </xf>
    <xf numFmtId="10" fontId="43" fillId="0" borderId="0" xfId="1" applyNumberFormat="1" applyFont="1" applyAlignment="1" applyProtection="1">
      <protection locked="0"/>
    </xf>
    <xf numFmtId="8" fontId="42" fillId="0" borderId="0" xfId="0" applyNumberFormat="1" applyFont="1"/>
    <xf numFmtId="0" fontId="0" fillId="0" borderId="39" xfId="0" applyBorder="1" applyAlignment="1">
      <alignment horizontal="center"/>
    </xf>
    <xf numFmtId="0" fontId="0" fillId="0" borderId="43" xfId="0" applyBorder="1" applyAlignment="1">
      <alignment horizontal="center"/>
    </xf>
    <xf numFmtId="0" fontId="0" fillId="0" borderId="40" xfId="0" applyBorder="1" applyAlignment="1">
      <alignment horizontal="right" wrapText="1"/>
    </xf>
    <xf numFmtId="0" fontId="0" fillId="0" borderId="30" xfId="0" applyBorder="1" applyAlignment="1">
      <alignment horizontal="right" wrapText="1"/>
    </xf>
    <xf numFmtId="0" fontId="0" fillId="0" borderId="43" xfId="0" applyBorder="1" applyAlignment="1">
      <alignment vertical="top"/>
    </xf>
    <xf numFmtId="8" fontId="43" fillId="0" borderId="0" xfId="0" applyNumberFormat="1" applyFont="1" applyAlignment="1">
      <alignment vertical="top"/>
    </xf>
    <xf numFmtId="7" fontId="0" fillId="0" borderId="0" xfId="0" applyNumberFormat="1"/>
    <xf numFmtId="7" fontId="0" fillId="0" borderId="35" xfId="0" applyNumberFormat="1" applyBorder="1"/>
    <xf numFmtId="7" fontId="46" fillId="0" borderId="0" xfId="0" applyNumberFormat="1" applyFont="1"/>
    <xf numFmtId="7" fontId="46" fillId="0" borderId="35" xfId="0" applyNumberFormat="1" applyFont="1" applyBorder="1"/>
    <xf numFmtId="168" fontId="63" fillId="0" borderId="0" xfId="33021" applyNumberFormat="1" applyFont="1" applyFill="1" applyProtection="1">
      <protection locked="0"/>
    </xf>
    <xf numFmtId="8" fontId="63" fillId="0" borderId="0" xfId="0" applyNumberFormat="1" applyFont="1" applyProtection="1">
      <protection locked="0"/>
    </xf>
    <xf numFmtId="174" fontId="53" fillId="0" borderId="0" xfId="0" quotePrefix="1" applyNumberFormat="1" applyFont="1" applyProtection="1">
      <protection locked="0"/>
    </xf>
    <xf numFmtId="173" fontId="63" fillId="0" borderId="0" xfId="1" applyNumberFormat="1" applyFont="1" applyFill="1" applyProtection="1">
      <protection locked="0"/>
    </xf>
    <xf numFmtId="7" fontId="63" fillId="0" borderId="0" xfId="20251" applyNumberFormat="1" applyFont="1" applyFill="1" applyProtection="1">
      <protection locked="0"/>
    </xf>
    <xf numFmtId="7" fontId="63" fillId="0" borderId="0" xfId="20251" applyNumberFormat="1" applyFont="1" applyFill="1" applyBorder="1" applyProtection="1">
      <protection locked="0"/>
    </xf>
    <xf numFmtId="10" fontId="63" fillId="0" borderId="0" xfId="1" applyNumberFormat="1" applyFont="1" applyFill="1" applyProtection="1">
      <protection locked="0"/>
    </xf>
    <xf numFmtId="43" fontId="63" fillId="0" borderId="0" xfId="33021" applyFont="1" applyFill="1" applyProtection="1">
      <protection locked="0"/>
    </xf>
    <xf numFmtId="168" fontId="63" fillId="0" borderId="0" xfId="33021" applyNumberFormat="1" applyFont="1" applyFill="1" applyBorder="1" applyProtection="1">
      <protection locked="0"/>
    </xf>
    <xf numFmtId="0" fontId="49" fillId="29" borderId="0" xfId="0" applyFont="1" applyFill="1" applyAlignment="1" applyProtection="1">
      <alignment horizontal="left"/>
      <protection locked="0"/>
    </xf>
    <xf numFmtId="8" fontId="49" fillId="29" borderId="0" xfId="0" applyNumberFormat="1" applyFont="1" applyFill="1"/>
    <xf numFmtId="2" fontId="49" fillId="29" borderId="0" xfId="0" applyNumberFormat="1" applyFont="1" applyFill="1" applyAlignment="1" applyProtection="1">
      <alignment horizontal="right"/>
      <protection locked="0"/>
    </xf>
    <xf numFmtId="7" fontId="49" fillId="29" borderId="0" xfId="0" applyNumberFormat="1" applyFont="1" applyFill="1" applyAlignment="1" applyProtection="1">
      <alignment horizontal="right"/>
      <protection locked="0"/>
    </xf>
    <xf numFmtId="8" fontId="49" fillId="29" borderId="0" xfId="0" applyNumberFormat="1" applyFont="1" applyFill="1" applyProtection="1">
      <protection locked="0"/>
    </xf>
    <xf numFmtId="43" fontId="49" fillId="29" borderId="0" xfId="33021" applyFont="1" applyFill="1" applyProtection="1">
      <protection locked="0"/>
    </xf>
    <xf numFmtId="0" fontId="47" fillId="0" borderId="0" xfId="0" applyFont="1"/>
    <xf numFmtId="44" fontId="47" fillId="0" borderId="0" xfId="20251" applyFont="1" applyFill="1"/>
    <xf numFmtId="0" fontId="47" fillId="0" borderId="0" xfId="0" applyFont="1" applyAlignment="1">
      <alignment horizontal="center"/>
    </xf>
    <xf numFmtId="44" fontId="47" fillId="0" borderId="0" xfId="20251" quotePrefix="1" applyFont="1" applyFill="1"/>
    <xf numFmtId="7" fontId="47" fillId="0" borderId="0" xfId="0" applyNumberFormat="1" applyFont="1"/>
    <xf numFmtId="0" fontId="47" fillId="0" borderId="0" xfId="0" quotePrefix="1" applyFont="1" applyAlignment="1">
      <alignment horizontal="right"/>
    </xf>
    <xf numFmtId="43" fontId="47" fillId="0" borderId="0" xfId="33021" applyFont="1" applyFill="1"/>
    <xf numFmtId="174" fontId="59" fillId="0" borderId="0" xfId="0" applyNumberFormat="1" applyFont="1"/>
    <xf numFmtId="174" fontId="2" fillId="0" borderId="0" xfId="0" applyNumberFormat="1" applyFont="1" applyAlignment="1">
      <alignment horizontal="center"/>
    </xf>
    <xf numFmtId="174" fontId="65" fillId="0" borderId="0" xfId="0" applyNumberFormat="1" applyFont="1"/>
    <xf numFmtId="174" fontId="0" fillId="0" borderId="0" xfId="0" applyNumberFormat="1"/>
    <xf numFmtId="174" fontId="64" fillId="0" borderId="0" xfId="0" applyNumberFormat="1" applyFont="1"/>
    <xf numFmtId="174" fontId="53" fillId="0" borderId="0" xfId="33021" applyNumberFormat="1" applyFont="1" applyFill="1" applyBorder="1" applyProtection="1">
      <protection locked="0"/>
    </xf>
    <xf numFmtId="174" fontId="47" fillId="0" borderId="0" xfId="33022" applyNumberFormat="1" applyFont="1"/>
    <xf numFmtId="174" fontId="53" fillId="0" borderId="0" xfId="4" applyNumberFormat="1" applyFont="1" applyFill="1" applyBorder="1" applyProtection="1">
      <protection locked="0"/>
    </xf>
    <xf numFmtId="8" fontId="66" fillId="0" borderId="0" xfId="0" applyNumberFormat="1" applyFont="1" applyProtection="1">
      <protection locked="0"/>
    </xf>
    <xf numFmtId="167" fontId="47" fillId="0" borderId="0" xfId="0" applyNumberFormat="1" applyFont="1"/>
    <xf numFmtId="10" fontId="49" fillId="29" borderId="0" xfId="1" applyNumberFormat="1" applyFont="1" applyFill="1" applyAlignment="1" applyProtection="1">
      <alignment horizontal="right"/>
      <protection locked="0"/>
    </xf>
    <xf numFmtId="9" fontId="49" fillId="29" borderId="0" xfId="1" applyFont="1" applyFill="1" applyAlignment="1" applyProtection="1">
      <alignment horizontal="right"/>
      <protection locked="0"/>
    </xf>
    <xf numFmtId="0" fontId="58" fillId="29" borderId="0" xfId="0" applyFont="1" applyFill="1"/>
    <xf numFmtId="0" fontId="58" fillId="29" borderId="0" xfId="0" applyFont="1" applyFill="1" applyAlignment="1">
      <alignment horizontal="right"/>
    </xf>
    <xf numFmtId="0" fontId="58" fillId="0" borderId="0" xfId="0" applyFont="1"/>
    <xf numFmtId="8" fontId="49" fillId="29" borderId="0" xfId="0" applyNumberFormat="1" applyFont="1" applyFill="1" applyAlignment="1" applyProtection="1">
      <alignment horizontal="right"/>
      <protection locked="0"/>
    </xf>
    <xf numFmtId="8" fontId="49" fillId="29" borderId="0" xfId="0" applyNumberFormat="1" applyFont="1" applyFill="1" applyAlignment="1">
      <alignment horizontal="right"/>
    </xf>
    <xf numFmtId="8" fontId="54" fillId="29" borderId="0" xfId="0" applyNumberFormat="1" applyFont="1" applyFill="1" applyAlignment="1">
      <alignment horizontal="right"/>
    </xf>
    <xf numFmtId="173" fontId="49" fillId="29" borderId="0" xfId="0" applyNumberFormat="1" applyFont="1" applyFill="1" applyAlignment="1">
      <alignment horizontal="center" vertical="top"/>
    </xf>
    <xf numFmtId="169" fontId="49" fillId="29" borderId="0" xfId="0" applyNumberFormat="1" applyFont="1" applyFill="1"/>
    <xf numFmtId="43" fontId="66" fillId="0" borderId="0" xfId="4" applyFont="1" applyFill="1" applyBorder="1" applyProtection="1">
      <protection locked="0"/>
    </xf>
    <xf numFmtId="43" fontId="66" fillId="0" borderId="36" xfId="4" applyFont="1" applyFill="1" applyBorder="1" applyProtection="1">
      <protection locked="0"/>
    </xf>
    <xf numFmtId="0" fontId="47" fillId="0" borderId="0" xfId="33022" applyFont="1"/>
    <xf numFmtId="173" fontId="49" fillId="29" borderId="0" xfId="0" applyNumberFormat="1" applyFont="1" applyFill="1" applyAlignment="1" applyProtection="1">
      <alignment horizontal="left"/>
      <protection locked="0"/>
    </xf>
    <xf numFmtId="173" fontId="49" fillId="0" borderId="0" xfId="0" applyNumberFormat="1" applyFont="1" applyAlignment="1">
      <alignment horizontal="left" vertical="top"/>
    </xf>
    <xf numFmtId="7" fontId="49" fillId="29" borderId="0" xfId="0" applyNumberFormat="1" applyFont="1" applyFill="1" applyAlignment="1" applyProtection="1">
      <alignment horizontal="left"/>
      <protection locked="0"/>
    </xf>
    <xf numFmtId="43" fontId="49" fillId="29" borderId="0" xfId="33021" applyFont="1" applyFill="1" applyAlignment="1" applyProtection="1">
      <alignment horizontal="right"/>
      <protection locked="0"/>
    </xf>
    <xf numFmtId="8" fontId="49" fillId="29" borderId="0" xfId="20251" applyNumberFormat="1" applyFont="1" applyFill="1" applyProtection="1">
      <protection locked="0"/>
    </xf>
    <xf numFmtId="8" fontId="49" fillId="29" borderId="0" xfId="20251" applyNumberFormat="1" applyFont="1" applyFill="1" applyAlignment="1" applyProtection="1">
      <alignment horizontal="right"/>
      <protection locked="0"/>
    </xf>
    <xf numFmtId="0" fontId="69" fillId="29" borderId="40" xfId="0" applyFont="1" applyFill="1" applyBorder="1" applyProtection="1">
      <protection locked="0"/>
    </xf>
    <xf numFmtId="0" fontId="69" fillId="29" borderId="36" xfId="0" applyFont="1" applyFill="1" applyBorder="1" applyProtection="1">
      <protection locked="0"/>
    </xf>
    <xf numFmtId="43" fontId="49" fillId="29" borderId="0" xfId="33021" applyFont="1" applyFill="1" applyAlignment="1" applyProtection="1"/>
    <xf numFmtId="8" fontId="49" fillId="29" borderId="0" xfId="0" applyNumberFormat="1" applyFont="1" applyFill="1" applyAlignment="1" applyProtection="1">
      <alignment horizontal="center"/>
      <protection locked="0"/>
    </xf>
    <xf numFmtId="7" fontId="47" fillId="0" borderId="0" xfId="20251" applyNumberFormat="1" applyFont="1" applyFill="1"/>
    <xf numFmtId="8" fontId="66" fillId="0" borderId="0" xfId="20251" applyNumberFormat="1" applyFont="1" applyFill="1" applyBorder="1" applyProtection="1">
      <protection locked="0"/>
    </xf>
    <xf numFmtId="8" fontId="66" fillId="0" borderId="0" xfId="33021" applyNumberFormat="1" applyFont="1" applyFill="1" applyBorder="1" applyProtection="1">
      <protection locked="0"/>
    </xf>
    <xf numFmtId="175" fontId="66" fillId="0" borderId="0" xfId="33021" applyNumberFormat="1" applyFont="1" applyFill="1" applyBorder="1" applyProtection="1">
      <protection locked="0"/>
    </xf>
    <xf numFmtId="0" fontId="69" fillId="29" borderId="0" xfId="0" applyFont="1" applyFill="1" applyAlignment="1" applyProtection="1">
      <alignment horizontal="left"/>
      <protection locked="0"/>
    </xf>
    <xf numFmtId="173" fontId="54" fillId="29" borderId="0" xfId="0" applyNumberFormat="1" applyFont="1" applyFill="1"/>
    <xf numFmtId="7" fontId="48" fillId="29" borderId="0" xfId="0" applyNumberFormat="1" applyFont="1" applyFill="1" applyAlignment="1" applyProtection="1">
      <alignment horizontal="right"/>
      <protection locked="0"/>
    </xf>
    <xf numFmtId="2" fontId="48" fillId="29" borderId="0" xfId="0" applyNumberFormat="1" applyFont="1" applyFill="1" applyAlignment="1">
      <alignment horizontal="right"/>
    </xf>
    <xf numFmtId="8" fontId="48" fillId="29" borderId="0" xfId="0" applyNumberFormat="1" applyFont="1" applyFill="1"/>
    <xf numFmtId="0" fontId="71" fillId="30" borderId="0" xfId="0" applyFont="1" applyFill="1" applyProtection="1">
      <protection locked="0"/>
    </xf>
    <xf numFmtId="40" fontId="49" fillId="29" borderId="0" xfId="0" applyNumberFormat="1" applyFont="1" applyFill="1" applyProtection="1">
      <protection locked="0"/>
    </xf>
    <xf numFmtId="8" fontId="48" fillId="29" borderId="0" xfId="0" applyNumberFormat="1" applyFont="1" applyFill="1" applyAlignment="1">
      <alignment horizontal="right"/>
    </xf>
    <xf numFmtId="0" fontId="49" fillId="29" borderId="0" xfId="0" applyFont="1" applyFill="1" applyAlignment="1">
      <alignment vertical="center"/>
    </xf>
    <xf numFmtId="8" fontId="49" fillId="29" borderId="0" xfId="20251" applyNumberFormat="1" applyFont="1" applyFill="1" applyBorder="1" applyProtection="1"/>
    <xf numFmtId="0" fontId="49" fillId="29" borderId="40" xfId="0" applyFont="1" applyFill="1" applyBorder="1" applyAlignment="1">
      <alignment vertical="center"/>
    </xf>
    <xf numFmtId="0" fontId="49" fillId="29" borderId="40" xfId="0" applyFont="1" applyFill="1" applyBorder="1" applyAlignment="1">
      <alignment horizontal="right" vertical="center"/>
    </xf>
    <xf numFmtId="0" fontId="49" fillId="29" borderId="40" xfId="0" applyFont="1" applyFill="1" applyBorder="1" applyAlignment="1">
      <alignment horizontal="right"/>
    </xf>
    <xf numFmtId="0" fontId="63" fillId="29" borderId="0" xfId="0" quotePrefix="1" applyFont="1" applyFill="1" applyProtection="1">
      <protection locked="0"/>
    </xf>
    <xf numFmtId="10" fontId="63" fillId="29" borderId="0" xfId="1" applyNumberFormat="1" applyFont="1" applyFill="1" applyProtection="1">
      <protection locked="0"/>
    </xf>
    <xf numFmtId="8" fontId="63" fillId="29" borderId="0" xfId="0" applyNumberFormat="1" applyFont="1" applyFill="1" applyProtection="1">
      <protection locked="0"/>
    </xf>
    <xf numFmtId="43" fontId="63" fillId="29" borderId="0" xfId="33021" applyFont="1" applyFill="1" applyProtection="1">
      <protection locked="0"/>
    </xf>
    <xf numFmtId="0" fontId="63" fillId="29" borderId="0" xfId="0" applyFont="1" applyFill="1" applyProtection="1">
      <protection locked="0"/>
    </xf>
    <xf numFmtId="39" fontId="49" fillId="29" borderId="0" xfId="0" applyNumberFormat="1" applyFont="1" applyFill="1"/>
    <xf numFmtId="0" fontId="63" fillId="29" borderId="0" xfId="0" applyFont="1" applyFill="1" applyAlignment="1" applyProtection="1">
      <alignment horizontal="center"/>
      <protection locked="0"/>
    </xf>
    <xf numFmtId="8" fontId="70" fillId="0" borderId="0" xfId="0" applyNumberFormat="1" applyFont="1" applyProtection="1">
      <protection locked="0"/>
    </xf>
    <xf numFmtId="8" fontId="70" fillId="0" borderId="0" xfId="33021" applyNumberFormat="1" applyFont="1" applyFill="1" applyBorder="1" applyProtection="1">
      <protection locked="0"/>
    </xf>
    <xf numFmtId="9" fontId="49" fillId="29" borderId="0" xfId="1" applyFont="1" applyFill="1" applyBorder="1" applyAlignment="1" applyProtection="1">
      <alignment horizontal="right"/>
    </xf>
    <xf numFmtId="39" fontId="49" fillId="29" borderId="0" xfId="20251" applyNumberFormat="1" applyFont="1" applyFill="1" applyBorder="1" applyProtection="1"/>
    <xf numFmtId="43" fontId="0" fillId="0" borderId="0" xfId="0" applyNumberFormat="1"/>
    <xf numFmtId="44" fontId="0" fillId="0" borderId="0" xfId="0" applyNumberFormat="1"/>
    <xf numFmtId="171" fontId="49" fillId="29" borderId="0" xfId="33021" applyNumberFormat="1" applyFont="1" applyFill="1" applyProtection="1"/>
    <xf numFmtId="0" fontId="63" fillId="29" borderId="36" xfId="0" quotePrefix="1" applyFont="1" applyFill="1" applyBorder="1" applyProtection="1">
      <protection locked="0"/>
    </xf>
    <xf numFmtId="10" fontId="63" fillId="29" borderId="36" xfId="1" applyNumberFormat="1" applyFont="1" applyFill="1" applyBorder="1" applyProtection="1">
      <protection locked="0"/>
    </xf>
    <xf numFmtId="171" fontId="49" fillId="29" borderId="36" xfId="33021" applyNumberFormat="1" applyFont="1" applyFill="1" applyBorder="1" applyProtection="1"/>
    <xf numFmtId="39" fontId="49" fillId="29" borderId="36" xfId="0" applyNumberFormat="1" applyFont="1" applyFill="1" applyBorder="1"/>
    <xf numFmtId="0" fontId="0" fillId="0" borderId="0" xfId="0" quotePrefix="1"/>
    <xf numFmtId="173" fontId="49" fillId="29" borderId="0" xfId="33021" applyNumberFormat="1" applyFont="1" applyFill="1" applyAlignment="1" applyProtection="1"/>
    <xf numFmtId="173" fontId="49" fillId="29" borderId="0" xfId="0" applyNumberFormat="1" applyFont="1" applyFill="1" applyAlignment="1">
      <alignment horizontal="right"/>
    </xf>
    <xf numFmtId="0" fontId="0" fillId="0" borderId="0" xfId="0" applyAlignment="1">
      <alignment horizontal="right"/>
    </xf>
    <xf numFmtId="0" fontId="0" fillId="0" borderId="0" xfId="0" quotePrefix="1" applyAlignment="1">
      <alignment horizontal="right"/>
    </xf>
    <xf numFmtId="0" fontId="49" fillId="29" borderId="0" xfId="0" applyFont="1" applyFill="1" applyAlignment="1" applyProtection="1">
      <alignment horizontal="right"/>
      <protection locked="0"/>
    </xf>
    <xf numFmtId="8" fontId="49" fillId="29" borderId="0" xfId="0" quotePrefix="1" applyNumberFormat="1" applyFont="1" applyFill="1" applyAlignment="1">
      <alignment horizontal="right"/>
    </xf>
    <xf numFmtId="0" fontId="72" fillId="0" borderId="0" xfId="0" applyFont="1"/>
    <xf numFmtId="8" fontId="50" fillId="0" borderId="0" xfId="0" applyNumberFormat="1" applyFont="1" applyProtection="1">
      <protection locked="0"/>
    </xf>
    <xf numFmtId="10" fontId="50" fillId="0" borderId="0" xfId="1" applyNumberFormat="1" applyFont="1" applyFill="1" applyProtection="1">
      <protection locked="0"/>
    </xf>
    <xf numFmtId="173" fontId="50" fillId="0" borderId="0" xfId="1" applyNumberFormat="1" applyFont="1" applyFill="1" applyProtection="1">
      <protection locked="0"/>
    </xf>
    <xf numFmtId="7" fontId="50" fillId="0" borderId="0" xfId="20251" applyNumberFormat="1" applyFont="1" applyFill="1" applyBorder="1" applyProtection="1">
      <protection locked="0"/>
    </xf>
    <xf numFmtId="168" fontId="50" fillId="0" borderId="0" xfId="33021" applyNumberFormat="1" applyFont="1" applyFill="1" applyProtection="1">
      <protection locked="0"/>
    </xf>
    <xf numFmtId="43" fontId="50" fillId="0" borderId="0" xfId="33021" applyFont="1" applyFill="1" applyProtection="1">
      <protection locked="0"/>
    </xf>
    <xf numFmtId="168" fontId="50" fillId="0" borderId="0" xfId="33021" applyNumberFormat="1" applyFont="1" applyFill="1" applyBorder="1" applyProtection="1">
      <protection locked="0"/>
    </xf>
    <xf numFmtId="0" fontId="50" fillId="0" borderId="0" xfId="0" applyFont="1"/>
    <xf numFmtId="175" fontId="66" fillId="0" borderId="0" xfId="0" applyNumberFormat="1" applyFont="1" applyProtection="1">
      <protection locked="0"/>
    </xf>
    <xf numFmtId="174" fontId="70" fillId="0" borderId="0" xfId="0" applyNumberFormat="1" applyFont="1"/>
    <xf numFmtId="43" fontId="49" fillId="0" borderId="0" xfId="33021" applyFont="1" applyFill="1" applyProtection="1">
      <protection locked="0"/>
    </xf>
    <xf numFmtId="0" fontId="6" fillId="29" borderId="0" xfId="0" applyFont="1" applyFill="1"/>
    <xf numFmtId="0" fontId="6" fillId="0" borderId="0" xfId="0" applyFont="1"/>
    <xf numFmtId="0" fontId="47" fillId="0" borderId="0" xfId="0" quotePrefix="1" applyFont="1"/>
    <xf numFmtId="43" fontId="47" fillId="0" borderId="0" xfId="0" applyNumberFormat="1" applyFont="1"/>
    <xf numFmtId="0" fontId="47" fillId="0" borderId="0" xfId="0" applyFont="1" applyProtection="1">
      <protection locked="0"/>
    </xf>
    <xf numFmtId="8" fontId="74" fillId="0" borderId="0" xfId="33021" applyNumberFormat="1" applyFont="1" applyFill="1" applyBorder="1" applyProtection="1">
      <protection locked="0"/>
    </xf>
    <xf numFmtId="8" fontId="49" fillId="0" borderId="0" xfId="0" applyNumberFormat="1" applyFont="1" applyProtection="1">
      <protection locked="0"/>
    </xf>
    <xf numFmtId="10" fontId="49" fillId="0" borderId="0" xfId="1" applyNumberFormat="1" applyFont="1" applyFill="1" applyProtection="1">
      <protection locked="0"/>
    </xf>
    <xf numFmtId="173" fontId="49" fillId="0" borderId="0" xfId="1" applyNumberFormat="1" applyFont="1" applyFill="1" applyProtection="1">
      <protection locked="0"/>
    </xf>
    <xf numFmtId="7" fontId="49" fillId="0" borderId="0" xfId="20251" applyNumberFormat="1" applyFont="1" applyFill="1" applyBorder="1" applyProtection="1">
      <protection locked="0"/>
    </xf>
    <xf numFmtId="168" fontId="49" fillId="0" borderId="0" xfId="33021" applyNumberFormat="1" applyFont="1" applyFill="1" applyProtection="1">
      <protection locked="0"/>
    </xf>
    <xf numFmtId="168" fontId="49" fillId="0" borderId="0" xfId="33021" applyNumberFormat="1" applyFont="1" applyFill="1" applyBorder="1" applyProtection="1">
      <protection locked="0"/>
    </xf>
    <xf numFmtId="175" fontId="66" fillId="0" borderId="31" xfId="33021" applyNumberFormat="1" applyFont="1" applyFill="1" applyBorder="1" applyProtection="1">
      <protection locked="0"/>
    </xf>
    <xf numFmtId="8" fontId="66" fillId="0" borderId="31" xfId="0" applyNumberFormat="1" applyFont="1" applyBorder="1" applyProtection="1">
      <protection locked="0"/>
    </xf>
    <xf numFmtId="0" fontId="76" fillId="0" borderId="0" xfId="0" applyFont="1"/>
    <xf numFmtId="174" fontId="77" fillId="0" borderId="0" xfId="0" applyNumberFormat="1" applyFont="1"/>
    <xf numFmtId="174" fontId="76" fillId="0" borderId="0" xfId="0" applyNumberFormat="1" applyFont="1"/>
    <xf numFmtId="0" fontId="78" fillId="30" borderId="0" xfId="0" applyFont="1" applyFill="1" applyProtection="1">
      <protection locked="0"/>
    </xf>
    <xf numFmtId="43" fontId="0" fillId="0" borderId="0" xfId="0" quotePrefix="1" applyNumberFormat="1"/>
    <xf numFmtId="43" fontId="79" fillId="0" borderId="0" xfId="0" applyNumberFormat="1" applyFont="1"/>
    <xf numFmtId="10" fontId="63" fillId="29" borderId="0" xfId="1" applyNumberFormat="1" applyFont="1" applyFill="1" applyBorder="1" applyProtection="1">
      <protection locked="0"/>
    </xf>
    <xf numFmtId="171" fontId="49" fillId="29" borderId="0" xfId="33021" applyNumberFormat="1" applyFont="1" applyFill="1" applyBorder="1" applyProtection="1"/>
    <xf numFmtId="37" fontId="49" fillId="29" borderId="0" xfId="0" applyNumberFormat="1" applyFont="1" applyFill="1"/>
    <xf numFmtId="0" fontId="49" fillId="29" borderId="0" xfId="0" applyFont="1" applyFill="1" applyAlignment="1">
      <alignment horizontal="right" wrapText="1"/>
    </xf>
    <xf numFmtId="6" fontId="49" fillId="29" borderId="0" xfId="0" applyNumberFormat="1" applyFont="1" applyFill="1"/>
    <xf numFmtId="10" fontId="49" fillId="29" borderId="0" xfId="0" applyNumberFormat="1" applyFont="1" applyFill="1"/>
    <xf numFmtId="0" fontId="49" fillId="29" borderId="0" xfId="0" applyFont="1" applyFill="1" applyAlignment="1">
      <alignment horizontal="left"/>
    </xf>
    <xf numFmtId="38" fontId="49" fillId="29" borderId="0" xfId="33021" applyNumberFormat="1" applyFont="1" applyFill="1"/>
    <xf numFmtId="38" fontId="49" fillId="29" borderId="0" xfId="0" applyNumberFormat="1" applyFont="1" applyFill="1"/>
    <xf numFmtId="6" fontId="49" fillId="29" borderId="0" xfId="33021" applyNumberFormat="1" applyFont="1" applyFill="1"/>
    <xf numFmtId="0" fontId="75" fillId="29" borderId="0" xfId="0" applyFont="1" applyFill="1"/>
    <xf numFmtId="0" fontId="75" fillId="30" borderId="0" xfId="0" applyFont="1" applyFill="1" applyProtection="1">
      <protection locked="0"/>
    </xf>
    <xf numFmtId="0" fontId="81" fillId="29" borderId="40" xfId="0" applyFont="1" applyFill="1" applyBorder="1" applyAlignment="1" applyProtection="1">
      <alignment horizontal="right"/>
      <protection locked="0"/>
    </xf>
    <xf numFmtId="0" fontId="81" fillId="29" borderId="40" xfId="0" applyFont="1" applyFill="1" applyBorder="1" applyAlignment="1">
      <alignment horizontal="right"/>
    </xf>
    <xf numFmtId="0" fontId="49" fillId="29" borderId="42" xfId="0" applyFont="1" applyFill="1" applyBorder="1"/>
    <xf numFmtId="6" fontId="49" fillId="29" borderId="42" xfId="0" applyNumberFormat="1" applyFont="1" applyFill="1" applyBorder="1"/>
    <xf numFmtId="10" fontId="49" fillId="29" borderId="42" xfId="0" applyNumberFormat="1" applyFont="1" applyFill="1" applyBorder="1"/>
    <xf numFmtId="0" fontId="74" fillId="0" borderId="0" xfId="0" applyFont="1"/>
    <xf numFmtId="44" fontId="47" fillId="0" borderId="0" xfId="20251" applyFont="1"/>
    <xf numFmtId="44" fontId="0" fillId="0" borderId="0" xfId="0" quotePrefix="1" applyNumberFormat="1"/>
    <xf numFmtId="44" fontId="79" fillId="0" borderId="0" xfId="0" applyNumberFormat="1" applyFont="1"/>
    <xf numFmtId="44" fontId="79" fillId="0" borderId="0" xfId="0" quotePrefix="1" applyNumberFormat="1" applyFont="1"/>
    <xf numFmtId="44" fontId="74" fillId="0" borderId="0" xfId="0" applyNumberFormat="1" applyFont="1"/>
    <xf numFmtId="173" fontId="74" fillId="0" borderId="0" xfId="0" applyNumberFormat="1" applyFont="1"/>
    <xf numFmtId="171" fontId="82" fillId="29" borderId="40" xfId="33021" applyNumberFormat="1" applyFont="1" applyFill="1" applyBorder="1" applyProtection="1">
      <protection locked="0"/>
    </xf>
    <xf numFmtId="168" fontId="47" fillId="0" borderId="36" xfId="0" applyNumberFormat="1" applyFont="1" applyBorder="1"/>
    <xf numFmtId="0" fontId="78" fillId="30" borderId="0" xfId="0" quotePrefix="1" applyFont="1" applyFill="1" applyProtection="1">
      <protection locked="0"/>
    </xf>
    <xf numFmtId="0" fontId="78" fillId="30" borderId="0" xfId="0" applyFont="1" applyFill="1" applyAlignment="1" applyProtection="1">
      <alignment horizontal="right"/>
      <protection locked="0"/>
    </xf>
    <xf numFmtId="168" fontId="63" fillId="29" borderId="0" xfId="33021" applyNumberFormat="1" applyFont="1" applyFill="1" applyAlignment="1" applyProtection="1">
      <alignment horizontal="center"/>
      <protection locked="0"/>
    </xf>
    <xf numFmtId="0" fontId="49" fillId="29" borderId="36" xfId="0" applyFont="1" applyFill="1" applyBorder="1" applyAlignment="1">
      <alignment horizontal="right" vertical="center"/>
    </xf>
    <xf numFmtId="9" fontId="63" fillId="29" borderId="0" xfId="1" applyFont="1" applyFill="1" applyAlignment="1" applyProtection="1">
      <alignment horizontal="right"/>
      <protection locked="0"/>
    </xf>
    <xf numFmtId="0" fontId="49" fillId="29" borderId="36" xfId="0" applyFont="1" applyFill="1" applyBorder="1" applyAlignment="1">
      <alignment horizontal="right" vertical="center" wrapText="1"/>
    </xf>
    <xf numFmtId="9" fontId="63" fillId="29" borderId="0" xfId="1" applyFont="1" applyFill="1" applyBorder="1" applyAlignment="1" applyProtection="1">
      <alignment horizontal="right"/>
      <protection locked="0"/>
    </xf>
    <xf numFmtId="44" fontId="63" fillId="29" borderId="0" xfId="20251" applyFont="1" applyFill="1" applyBorder="1" applyAlignment="1" applyProtection="1">
      <alignment horizontal="right"/>
      <protection locked="0"/>
    </xf>
    <xf numFmtId="177" fontId="63" fillId="29" borderId="0" xfId="20251" applyNumberFormat="1" applyFont="1" applyFill="1" applyBorder="1" applyAlignment="1" applyProtection="1">
      <alignment horizontal="right"/>
      <protection locked="0"/>
    </xf>
    <xf numFmtId="10" fontId="63" fillId="29" borderId="36" xfId="1" applyNumberFormat="1" applyFont="1" applyFill="1" applyBorder="1" applyAlignment="1" applyProtection="1">
      <alignment horizontal="right"/>
      <protection locked="0"/>
    </xf>
    <xf numFmtId="8" fontId="0" fillId="0" borderId="0" xfId="0" quotePrefix="1" applyNumberFormat="1"/>
    <xf numFmtId="0" fontId="49" fillId="29" borderId="0" xfId="0" applyFont="1" applyFill="1" applyAlignment="1">
      <alignment horizontal="right"/>
    </xf>
    <xf numFmtId="8" fontId="84" fillId="29" borderId="0" xfId="1" applyNumberFormat="1" applyFont="1" applyFill="1" applyBorder="1" applyAlignment="1" applyProtection="1">
      <alignment horizontal="right"/>
      <protection locked="0"/>
    </xf>
    <xf numFmtId="0" fontId="80" fillId="0" borderId="0" xfId="0" applyFont="1"/>
    <xf numFmtId="43" fontId="83" fillId="29" borderId="0" xfId="33021" applyFont="1" applyFill="1" applyBorder="1" applyProtection="1">
      <protection locked="0"/>
    </xf>
    <xf numFmtId="171" fontId="83" fillId="29" borderId="36" xfId="33021" applyNumberFormat="1" applyFont="1" applyFill="1" applyBorder="1" applyProtection="1">
      <protection locked="0"/>
    </xf>
    <xf numFmtId="0" fontId="49" fillId="29" borderId="0" xfId="0" quotePrefix="1" applyFont="1" applyFill="1" applyProtection="1">
      <protection locked="0"/>
    </xf>
    <xf numFmtId="0" fontId="69" fillId="29" borderId="0" xfId="0" quotePrefix="1" applyFont="1" applyFill="1" applyProtection="1">
      <protection locked="0"/>
    </xf>
    <xf numFmtId="173" fontId="49" fillId="29" borderId="0" xfId="0" applyNumberFormat="1" applyFont="1" applyFill="1" applyAlignment="1">
      <alignment horizontal="left" vertical="top"/>
    </xf>
    <xf numFmtId="2" fontId="0" fillId="0" borderId="0" xfId="0" quotePrefix="1" applyNumberFormat="1"/>
    <xf numFmtId="171" fontId="82" fillId="29" borderId="0" xfId="33021" applyNumberFormat="1" applyFont="1" applyFill="1" applyBorder="1" applyProtection="1">
      <protection locked="0"/>
    </xf>
    <xf numFmtId="0" fontId="75" fillId="29" borderId="0" xfId="0" quotePrefix="1" applyFont="1" applyFill="1"/>
    <xf numFmtId="0" fontId="75" fillId="30" borderId="0" xfId="0" quotePrefix="1" applyFont="1" applyFill="1" applyProtection="1">
      <protection locked="0"/>
    </xf>
    <xf numFmtId="10" fontId="49" fillId="29" borderId="0" xfId="1" applyNumberFormat="1" applyFont="1" applyFill="1" applyBorder="1" applyProtection="1"/>
    <xf numFmtId="0" fontId="49" fillId="29" borderId="36" xfId="0" quotePrefix="1" applyFont="1" applyFill="1" applyBorder="1" applyAlignment="1">
      <alignment horizontal="center"/>
    </xf>
    <xf numFmtId="0" fontId="49" fillId="29" borderId="31" xfId="0" applyFont="1" applyFill="1" applyBorder="1"/>
    <xf numFmtId="0" fontId="49" fillId="29" borderId="31" xfId="0" applyFont="1" applyFill="1" applyBorder="1" applyAlignment="1">
      <alignment horizontal="left"/>
    </xf>
    <xf numFmtId="38" fontId="49" fillId="29" borderId="43" xfId="33021" applyNumberFormat="1" applyFont="1" applyFill="1" applyBorder="1" applyProtection="1"/>
    <xf numFmtId="6" fontId="49" fillId="29" borderId="43" xfId="33021" applyNumberFormat="1" applyFont="1" applyFill="1" applyBorder="1" applyProtection="1"/>
    <xf numFmtId="0" fontId="49" fillId="29" borderId="29" xfId="0" applyFont="1" applyFill="1" applyBorder="1"/>
    <xf numFmtId="0" fontId="81" fillId="29" borderId="0" xfId="0" applyFont="1" applyFill="1" applyAlignment="1">
      <alignment horizontal="left"/>
    </xf>
    <xf numFmtId="0" fontId="81" fillId="29" borderId="0" xfId="0" applyFont="1" applyFill="1" applyAlignment="1">
      <alignment horizontal="center" wrapText="1"/>
    </xf>
    <xf numFmtId="0" fontId="81" fillId="29" borderId="0" xfId="0" applyFont="1" applyFill="1" applyAlignment="1">
      <alignment horizontal="right"/>
    </xf>
    <xf numFmtId="0" fontId="49" fillId="30" borderId="0" xfId="0" applyFont="1" applyFill="1"/>
    <xf numFmtId="43" fontId="49" fillId="29" borderId="0" xfId="33021" applyFont="1" applyFill="1" applyProtection="1"/>
    <xf numFmtId="0" fontId="49" fillId="30" borderId="36" xfId="0" applyFont="1" applyFill="1" applyBorder="1"/>
    <xf numFmtId="173" fontId="49" fillId="29" borderId="0" xfId="33021" applyNumberFormat="1" applyFont="1" applyFill="1" applyProtection="1"/>
    <xf numFmtId="0" fontId="49" fillId="30" borderId="36" xfId="0" quotePrefix="1" applyFont="1" applyFill="1" applyBorder="1"/>
    <xf numFmtId="0" fontId="78" fillId="30" borderId="36" xfId="0" quotePrefix="1" applyFont="1" applyFill="1" applyBorder="1"/>
    <xf numFmtId="168" fontId="63" fillId="29" borderId="36" xfId="33021" applyNumberFormat="1" applyFont="1" applyFill="1" applyBorder="1" applyAlignment="1" applyProtection="1">
      <alignment horizontal="center"/>
    </xf>
    <xf numFmtId="8" fontId="63" fillId="29" borderId="36" xfId="0" applyNumberFormat="1" applyFont="1" applyFill="1" applyBorder="1"/>
    <xf numFmtId="173" fontId="49" fillId="29" borderId="36" xfId="33021" applyNumberFormat="1" applyFont="1" applyFill="1" applyBorder="1" applyProtection="1"/>
    <xf numFmtId="173" fontId="54" fillId="29" borderId="0" xfId="33021" applyNumberFormat="1" applyFont="1" applyFill="1" applyProtection="1"/>
    <xf numFmtId="8" fontId="49" fillId="29" borderId="0" xfId="0" quotePrefix="1" applyNumberFormat="1" applyFont="1" applyFill="1"/>
    <xf numFmtId="173" fontId="49" fillId="29" borderId="0" xfId="33021" applyNumberFormat="1" applyFont="1" applyFill="1" applyBorder="1" applyProtection="1"/>
    <xf numFmtId="8" fontId="49" fillId="29" borderId="36" xfId="0" quotePrefix="1" applyNumberFormat="1" applyFont="1" applyFill="1" applyBorder="1"/>
    <xf numFmtId="0" fontId="78" fillId="29" borderId="0" xfId="0" applyFont="1" applyFill="1" applyProtection="1">
      <protection locked="0"/>
    </xf>
    <xf numFmtId="171" fontId="78" fillId="29" borderId="0" xfId="33021" applyNumberFormat="1" applyFont="1" applyFill="1" applyAlignment="1" applyProtection="1">
      <alignment horizontal="right"/>
      <protection locked="0"/>
    </xf>
    <xf numFmtId="0" fontId="78" fillId="29" borderId="0" xfId="0" quotePrefix="1" applyFont="1" applyFill="1" applyAlignment="1" applyProtection="1">
      <alignment horizontal="right"/>
      <protection locked="0"/>
    </xf>
    <xf numFmtId="0" fontId="78" fillId="29" borderId="0" xfId="0" applyFont="1" applyFill="1" applyAlignment="1" applyProtection="1">
      <alignment horizontal="right"/>
      <protection locked="0"/>
    </xf>
    <xf numFmtId="168" fontId="47" fillId="0" borderId="36" xfId="0" applyNumberFormat="1" applyFont="1" applyBorder="1" applyAlignment="1">
      <alignment horizontal="right"/>
    </xf>
    <xf numFmtId="0" fontId="49" fillId="0" borderId="0" xfId="0" applyFont="1" applyAlignment="1">
      <alignment horizontal="left"/>
    </xf>
    <xf numFmtId="0" fontId="49" fillId="0" borderId="0" xfId="0" applyFont="1" applyAlignment="1">
      <alignment horizontal="center"/>
    </xf>
    <xf numFmtId="9" fontId="63" fillId="29" borderId="0" xfId="1" applyFont="1" applyFill="1" applyBorder="1" applyAlignment="1" applyProtection="1">
      <alignment horizontal="right"/>
    </xf>
    <xf numFmtId="9" fontId="63" fillId="29" borderId="36" xfId="1" applyFont="1" applyFill="1" applyBorder="1" applyAlignment="1" applyProtection="1">
      <alignment horizontal="right"/>
    </xf>
    <xf numFmtId="0" fontId="42" fillId="0" borderId="0" xfId="0" applyFont="1" applyAlignment="1">
      <alignment horizontal="right"/>
    </xf>
    <xf numFmtId="0" fontId="42" fillId="0" borderId="0" xfId="0" applyFont="1"/>
    <xf numFmtId="0" fontId="0" fillId="0" borderId="36" xfId="0" applyBorder="1" applyAlignment="1">
      <alignment horizontal="center"/>
    </xf>
    <xf numFmtId="0" fontId="42" fillId="0" borderId="32" xfId="0" applyFont="1" applyBorder="1" applyAlignment="1">
      <alignment horizontal="right"/>
    </xf>
    <xf numFmtId="0" fontId="0" fillId="0" borderId="32" xfId="0" applyBorder="1" applyAlignment="1">
      <alignment horizontal="center"/>
    </xf>
    <xf numFmtId="0" fontId="0" fillId="0" borderId="0" xfId="0" quotePrefix="1" applyAlignment="1">
      <alignment horizontal="center"/>
    </xf>
    <xf numFmtId="170" fontId="0" fillId="0" borderId="0" xfId="20251" applyNumberFormat="1" applyFont="1"/>
    <xf numFmtId="170" fontId="46" fillId="0" borderId="0" xfId="20251" applyNumberFormat="1" applyFont="1"/>
    <xf numFmtId="0" fontId="88" fillId="0" borderId="0" xfId="0" quotePrefix="1" applyFont="1"/>
    <xf numFmtId="170" fontId="0" fillId="0" borderId="0" xfId="0" applyNumberFormat="1"/>
    <xf numFmtId="168" fontId="49" fillId="29" borderId="0" xfId="33021" applyNumberFormat="1" applyFont="1" applyFill="1" applyAlignment="1" applyProtection="1">
      <alignment horizontal="center"/>
      <protection locked="0"/>
    </xf>
    <xf numFmtId="171" fontId="49" fillId="29" borderId="0" xfId="33021" applyNumberFormat="1" applyFont="1" applyFill="1" applyAlignment="1" applyProtection="1">
      <alignment horizontal="right"/>
      <protection locked="0"/>
    </xf>
    <xf numFmtId="0" fontId="49" fillId="29" borderId="0" xfId="0" quotePrefix="1" applyFont="1" applyFill="1" applyAlignment="1" applyProtection="1">
      <alignment horizontal="right"/>
      <protection locked="0"/>
    </xf>
    <xf numFmtId="0" fontId="49" fillId="30" borderId="0" xfId="0" applyFont="1" applyFill="1" applyProtection="1">
      <protection locked="0"/>
    </xf>
    <xf numFmtId="0" fontId="49" fillId="30" borderId="0" xfId="0" applyFont="1" applyFill="1" applyAlignment="1" applyProtection="1">
      <alignment horizontal="right"/>
      <protection locked="0"/>
    </xf>
    <xf numFmtId="0" fontId="49" fillId="30" borderId="0" xfId="0" quotePrefix="1" applyFont="1" applyFill="1" applyProtection="1">
      <protection locked="0"/>
    </xf>
    <xf numFmtId="43" fontId="48" fillId="29" borderId="0" xfId="33021" applyFont="1" applyFill="1" applyBorder="1" applyProtection="1">
      <protection locked="0"/>
    </xf>
    <xf numFmtId="171" fontId="48" fillId="29" borderId="36" xfId="33021" applyNumberFormat="1" applyFont="1" applyFill="1" applyBorder="1" applyProtection="1">
      <protection locked="0"/>
    </xf>
    <xf numFmtId="0" fontId="48" fillId="30" borderId="0" xfId="0" applyFont="1" applyFill="1"/>
    <xf numFmtId="8" fontId="48" fillId="29" borderId="0" xfId="0" quotePrefix="1" applyNumberFormat="1" applyFont="1" applyFill="1"/>
    <xf numFmtId="173" fontId="48" fillId="29" borderId="0" xfId="33021" applyNumberFormat="1" applyFont="1" applyFill="1" applyProtection="1"/>
    <xf numFmtId="173" fontId="48" fillId="29" borderId="0" xfId="33021" applyNumberFormat="1" applyFont="1" applyFill="1" applyBorder="1" applyProtection="1"/>
    <xf numFmtId="0" fontId="48" fillId="30" borderId="36" xfId="0" applyFont="1" applyFill="1" applyBorder="1"/>
    <xf numFmtId="0" fontId="48" fillId="29" borderId="36" xfId="0" quotePrefix="1" applyFont="1" applyFill="1" applyBorder="1" applyAlignment="1">
      <alignment horizontal="center"/>
    </xf>
    <xf numFmtId="8" fontId="48" fillId="29" borderId="36" xfId="0" quotePrefix="1" applyNumberFormat="1" applyFont="1" applyFill="1" applyBorder="1"/>
    <xf numFmtId="173" fontId="48" fillId="29" borderId="36" xfId="33021" applyNumberFormat="1" applyFont="1" applyFill="1" applyBorder="1" applyProtection="1"/>
    <xf numFmtId="173" fontId="0" fillId="0" borderId="0" xfId="0" applyNumberFormat="1"/>
    <xf numFmtId="0" fontId="87" fillId="0" borderId="0" xfId="33024"/>
    <xf numFmtId="0" fontId="88" fillId="29" borderId="0" xfId="0" quotePrefix="1" applyFont="1" applyFill="1"/>
    <xf numFmtId="0" fontId="0" fillId="29" borderId="0" xfId="0" quotePrefix="1" applyFill="1"/>
    <xf numFmtId="10" fontId="50" fillId="29" borderId="0" xfId="1" applyNumberFormat="1" applyFont="1" applyFill="1" applyProtection="1">
      <protection locked="0"/>
    </xf>
    <xf numFmtId="10" fontId="50" fillId="29" borderId="36" xfId="1" applyNumberFormat="1" applyFont="1" applyFill="1" applyBorder="1" applyProtection="1">
      <protection locked="0"/>
    </xf>
    <xf numFmtId="10" fontId="50" fillId="29" borderId="0" xfId="1" applyNumberFormat="1" applyFont="1" applyFill="1" applyBorder="1" applyProtection="1">
      <protection locked="0"/>
    </xf>
    <xf numFmtId="171" fontId="50" fillId="29" borderId="0" xfId="33021" applyNumberFormat="1" applyFont="1" applyFill="1" applyProtection="1"/>
    <xf numFmtId="171" fontId="50" fillId="29" borderId="36" xfId="33021" applyNumberFormat="1" applyFont="1" applyFill="1" applyBorder="1" applyProtection="1"/>
    <xf numFmtId="171" fontId="50" fillId="29" borderId="0" xfId="33021" quotePrefix="1" applyNumberFormat="1" applyFont="1" applyFill="1" applyBorder="1" applyProtection="1"/>
    <xf numFmtId="171" fontId="50" fillId="29" borderId="0" xfId="33021" applyNumberFormat="1" applyFont="1" applyFill="1" applyBorder="1" applyProtection="1"/>
    <xf numFmtId="8" fontId="49" fillId="0" borderId="0" xfId="0" quotePrefix="1" applyNumberFormat="1" applyFont="1" applyProtection="1">
      <protection locked="0"/>
    </xf>
    <xf numFmtId="7" fontId="49" fillId="0" borderId="0" xfId="20251" applyNumberFormat="1" applyFont="1" applyFill="1" applyProtection="1">
      <protection locked="0"/>
    </xf>
    <xf numFmtId="0" fontId="80" fillId="31" borderId="0" xfId="0" quotePrefix="1" applyFont="1" applyFill="1"/>
    <xf numFmtId="0" fontId="49" fillId="29" borderId="0" xfId="0" quotePrefix="1" applyFont="1" applyFill="1"/>
    <xf numFmtId="10" fontId="63" fillId="29" borderId="0" xfId="1" applyNumberFormat="1" applyFont="1" applyFill="1" applyBorder="1" applyAlignment="1" applyProtection="1">
      <alignment horizontal="right"/>
      <protection locked="0"/>
    </xf>
    <xf numFmtId="10" fontId="49" fillId="29" borderId="0" xfId="0" quotePrefix="1" applyNumberFormat="1" applyFont="1" applyFill="1"/>
    <xf numFmtId="9" fontId="63" fillId="29" borderId="0" xfId="1" quotePrefix="1" applyFont="1" applyFill="1" applyAlignment="1" applyProtection="1">
      <alignment horizontal="right"/>
      <protection locked="0"/>
    </xf>
    <xf numFmtId="2" fontId="75" fillId="29" borderId="0" xfId="0" applyNumberFormat="1" applyFont="1" applyFill="1"/>
    <xf numFmtId="0" fontId="0" fillId="0" borderId="44" xfId="0" applyBorder="1"/>
    <xf numFmtId="0" fontId="0" fillId="0" borderId="45" xfId="0" applyBorder="1"/>
    <xf numFmtId="0" fontId="0" fillId="0" borderId="46" xfId="0" applyBorder="1"/>
    <xf numFmtId="2" fontId="0" fillId="0" borderId="47" xfId="0" applyNumberFormat="1" applyBorder="1"/>
    <xf numFmtId="2" fontId="0" fillId="0" borderId="35" xfId="0" applyNumberFormat="1" applyBorder="1"/>
    <xf numFmtId="0" fontId="91" fillId="29" borderId="0" xfId="0" applyFont="1" applyFill="1"/>
    <xf numFmtId="2" fontId="0" fillId="0" borderId="48" xfId="0" applyNumberFormat="1" applyBorder="1"/>
    <xf numFmtId="2" fontId="0" fillId="0" borderId="49" xfId="0" applyNumberFormat="1" applyBorder="1"/>
    <xf numFmtId="2" fontId="0" fillId="0" borderId="50" xfId="0" applyNumberFormat="1" applyBorder="1"/>
    <xf numFmtId="2" fontId="0" fillId="0" borderId="51" xfId="0" applyNumberFormat="1" applyBorder="1"/>
    <xf numFmtId="2" fontId="0" fillId="0" borderId="52" xfId="0" applyNumberFormat="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8" fontId="92" fillId="0" borderId="0" xfId="0" applyNumberFormat="1" applyFont="1" applyProtection="1">
      <protection locked="0"/>
    </xf>
    <xf numFmtId="0" fontId="66" fillId="0" borderId="0" xfId="0" applyFont="1" applyProtection="1">
      <protection locked="0"/>
    </xf>
    <xf numFmtId="0" fontId="63" fillId="0" borderId="0" xfId="0" applyFont="1" applyAlignment="1" applyProtection="1">
      <alignment horizontal="center"/>
      <protection locked="0"/>
    </xf>
    <xf numFmtId="0" fontId="63" fillId="0" borderId="0" xfId="0" applyFont="1" applyProtection="1">
      <protection locked="0"/>
    </xf>
    <xf numFmtId="0" fontId="63" fillId="0" borderId="0" xfId="0" applyFont="1" applyAlignment="1" applyProtection="1">
      <alignment horizontal="left"/>
      <protection locked="0"/>
    </xf>
    <xf numFmtId="0" fontId="66" fillId="0" borderId="0" xfId="0" applyFont="1" applyAlignment="1" applyProtection="1">
      <alignment horizontal="center"/>
      <protection locked="0"/>
    </xf>
    <xf numFmtId="8" fontId="93" fillId="29" borderId="0" xfId="0" applyNumberFormat="1" applyFont="1" applyFill="1" applyProtection="1">
      <protection locked="0"/>
    </xf>
    <xf numFmtId="0" fontId="0" fillId="32" borderId="0" xfId="0" applyFill="1"/>
    <xf numFmtId="10" fontId="0" fillId="0" borderId="0" xfId="1" applyNumberFormat="1" applyFont="1" applyFill="1"/>
    <xf numFmtId="0" fontId="93" fillId="0" borderId="0" xfId="0" applyFont="1" applyAlignment="1" applyProtection="1">
      <alignment horizontal="left"/>
      <protection locked="0"/>
    </xf>
    <xf numFmtId="0" fontId="93" fillId="0" borderId="0" xfId="0" applyFont="1" applyAlignment="1">
      <alignment horizontal="center"/>
    </xf>
    <xf numFmtId="8" fontId="93" fillId="0" borderId="0" xfId="0" applyNumberFormat="1" applyFont="1" applyProtection="1">
      <protection locked="0"/>
    </xf>
    <xf numFmtId="175" fontId="92" fillId="0" borderId="31" xfId="33021" applyNumberFormat="1" applyFont="1" applyFill="1" applyBorder="1" applyProtection="1">
      <protection locked="0"/>
    </xf>
    <xf numFmtId="175" fontId="92" fillId="0" borderId="0" xfId="33021" applyNumberFormat="1" applyFont="1" applyFill="1" applyBorder="1" applyProtection="1">
      <protection locked="0"/>
    </xf>
    <xf numFmtId="0" fontId="95" fillId="0" borderId="0" xfId="0" applyFont="1"/>
    <xf numFmtId="0" fontId="92" fillId="0" borderId="0" xfId="0" quotePrefix="1" applyFont="1" applyProtection="1">
      <protection locked="0"/>
    </xf>
    <xf numFmtId="0" fontId="96" fillId="0" borderId="0" xfId="0" applyFont="1" applyAlignment="1" applyProtection="1">
      <alignment horizontal="center"/>
      <protection locked="0"/>
    </xf>
    <xf numFmtId="0" fontId="97" fillId="0" borderId="0" xfId="0" applyFont="1" applyProtection="1">
      <protection locked="0"/>
    </xf>
    <xf numFmtId="167" fontId="97" fillId="0" borderId="0" xfId="0" applyNumberFormat="1" applyFont="1" applyProtection="1">
      <protection locked="0"/>
    </xf>
    <xf numFmtId="168" fontId="97" fillId="0" borderId="0" xfId="33021" applyNumberFormat="1" applyFont="1" applyFill="1" applyProtection="1">
      <protection locked="0"/>
    </xf>
    <xf numFmtId="0" fontId="98" fillId="0" borderId="0" xfId="0" quotePrefix="1" applyFont="1" applyProtection="1">
      <protection locked="0"/>
    </xf>
    <xf numFmtId="0" fontId="99" fillId="0" borderId="0" xfId="0" applyFont="1" applyProtection="1">
      <protection locked="0"/>
    </xf>
    <xf numFmtId="0" fontId="93" fillId="0" borderId="0" xfId="0" quotePrefix="1" applyFont="1" applyAlignment="1" applyProtection="1">
      <alignment horizontal="left"/>
      <protection locked="0"/>
    </xf>
    <xf numFmtId="2" fontId="0" fillId="0" borderId="35" xfId="0" quotePrefix="1" applyNumberFormat="1" applyBorder="1"/>
    <xf numFmtId="0" fontId="93" fillId="29" borderId="0" xfId="0" applyFont="1" applyFill="1" applyAlignment="1">
      <alignment horizontal="center"/>
    </xf>
    <xf numFmtId="8" fontId="93" fillId="29" borderId="0" xfId="0" applyNumberFormat="1" applyFont="1" applyFill="1"/>
    <xf numFmtId="43" fontId="63" fillId="29" borderId="0" xfId="33021" applyFont="1" applyFill="1" applyBorder="1" applyProtection="1"/>
    <xf numFmtId="0" fontId="63" fillId="29" borderId="36" xfId="0" applyFont="1" applyFill="1" applyBorder="1" applyAlignment="1" applyProtection="1">
      <alignment horizontal="center"/>
      <protection locked="0"/>
    </xf>
    <xf numFmtId="8" fontId="63" fillId="29" borderId="36" xfId="0" applyNumberFormat="1" applyFont="1" applyFill="1" applyBorder="1" applyProtection="1">
      <protection locked="0"/>
    </xf>
    <xf numFmtId="43" fontId="63" fillId="29" borderId="36" xfId="33021" applyFont="1" applyFill="1" applyBorder="1" applyProtection="1">
      <protection locked="0"/>
    </xf>
    <xf numFmtId="6" fontId="49" fillId="29" borderId="2" xfId="0" applyNumberFormat="1" applyFont="1" applyFill="1" applyBorder="1"/>
    <xf numFmtId="10" fontId="49" fillId="29" borderId="0" xfId="1" applyNumberFormat="1" applyFont="1" applyFill="1" applyBorder="1" applyAlignment="1" applyProtection="1">
      <alignment horizontal="right"/>
    </xf>
    <xf numFmtId="39" fontId="49" fillId="29" borderId="0" xfId="0" applyNumberFormat="1" applyFont="1" applyFill="1" applyAlignment="1">
      <alignment horizontal="center"/>
    </xf>
    <xf numFmtId="0" fontId="51" fillId="29" borderId="0" xfId="0" applyFont="1" applyFill="1" applyAlignment="1">
      <alignment horizontal="left"/>
    </xf>
    <xf numFmtId="0" fontId="49" fillId="29" borderId="40" xfId="0" applyFont="1" applyFill="1" applyBorder="1" applyAlignment="1">
      <alignment horizontal="center"/>
    </xf>
    <xf numFmtId="0" fontId="1" fillId="29" borderId="0" xfId="0" applyFont="1" applyFill="1"/>
    <xf numFmtId="0" fontId="100" fillId="29" borderId="0" xfId="0" applyFont="1" applyFill="1" applyAlignment="1">
      <alignment vertical="center"/>
    </xf>
    <xf numFmtId="0" fontId="100" fillId="29" borderId="0" xfId="0" applyFont="1" applyFill="1" applyAlignment="1">
      <alignment horizontal="center" vertical="center"/>
    </xf>
    <xf numFmtId="0" fontId="100" fillId="29" borderId="0" xfId="0" applyFont="1" applyFill="1" applyAlignment="1">
      <alignment horizontal="left" vertical="center" wrapText="1"/>
    </xf>
    <xf numFmtId="0" fontId="101" fillId="29" borderId="0" xfId="0" applyFont="1" applyFill="1" applyAlignment="1">
      <alignment vertical="center" wrapText="1"/>
    </xf>
    <xf numFmtId="0" fontId="103" fillId="29" borderId="0" xfId="0" quotePrefix="1" applyFont="1" applyFill="1" applyAlignment="1">
      <alignment horizontal="center"/>
    </xf>
    <xf numFmtId="0" fontId="105" fillId="29" borderId="0" xfId="0" applyFont="1" applyFill="1" applyAlignment="1">
      <alignment vertical="center" wrapText="1"/>
    </xf>
    <xf numFmtId="0" fontId="106" fillId="29" borderId="0" xfId="0" applyFont="1" applyFill="1"/>
    <xf numFmtId="0" fontId="0" fillId="0" borderId="31" xfId="0" applyBorder="1"/>
    <xf numFmtId="6" fontId="49" fillId="29" borderId="39" xfId="0" applyNumberFormat="1" applyFont="1" applyFill="1" applyBorder="1"/>
    <xf numFmtId="37" fontId="49" fillId="29" borderId="43" xfId="0" applyNumberFormat="1" applyFont="1" applyFill="1" applyBorder="1"/>
    <xf numFmtId="37" fontId="49" fillId="29" borderId="2" xfId="0" applyNumberFormat="1" applyFont="1" applyFill="1" applyBorder="1"/>
    <xf numFmtId="0" fontId="49" fillId="29" borderId="36" xfId="0" applyFont="1" applyFill="1" applyBorder="1" applyAlignment="1">
      <alignment vertical="center"/>
    </xf>
    <xf numFmtId="0" fontId="48" fillId="29" borderId="42" xfId="0" applyFont="1" applyFill="1" applyBorder="1"/>
    <xf numFmtId="43" fontId="93" fillId="33" borderId="0" xfId="33021" applyFont="1" applyFill="1" applyBorder="1" applyProtection="1"/>
    <xf numFmtId="43" fontId="63" fillId="33" borderId="36" xfId="33021" applyFont="1" applyFill="1" applyBorder="1" applyProtection="1">
      <protection locked="0"/>
    </xf>
    <xf numFmtId="43" fontId="63" fillId="29" borderId="34" xfId="33021" applyFont="1" applyFill="1" applyBorder="1" applyProtection="1">
      <protection locked="0"/>
    </xf>
    <xf numFmtId="43" fontId="63" fillId="33" borderId="42" xfId="33021" applyFont="1" applyFill="1" applyBorder="1" applyProtection="1">
      <protection locked="0"/>
    </xf>
    <xf numFmtId="43" fontId="63" fillId="32" borderId="41" xfId="33021" applyFont="1" applyFill="1" applyBorder="1" applyProtection="1">
      <protection locked="0"/>
    </xf>
    <xf numFmtId="43" fontId="63" fillId="29" borderId="31" xfId="33021" applyFont="1" applyFill="1" applyBorder="1" applyProtection="1">
      <protection locked="0"/>
    </xf>
    <xf numFmtId="43" fontId="63" fillId="33" borderId="0" xfId="33021" applyFont="1" applyFill="1" applyBorder="1" applyProtection="1">
      <protection locked="0"/>
    </xf>
    <xf numFmtId="43" fontId="63" fillId="32" borderId="35" xfId="33021" applyFont="1" applyFill="1" applyBorder="1" applyProtection="1">
      <protection locked="0"/>
    </xf>
    <xf numFmtId="43" fontId="93" fillId="29" borderId="31" xfId="33021" applyFont="1" applyFill="1" applyBorder="1" applyProtection="1"/>
    <xf numFmtId="43" fontId="93" fillId="32" borderId="35" xfId="33021" applyFont="1" applyFill="1" applyBorder="1" applyProtection="1"/>
    <xf numFmtId="43" fontId="49" fillId="29" borderId="31" xfId="33021" applyFont="1" applyFill="1" applyBorder="1" applyProtection="1"/>
    <xf numFmtId="43" fontId="49" fillId="33" borderId="0" xfId="33021" applyFont="1" applyFill="1" applyBorder="1" applyProtection="1"/>
    <xf numFmtId="43" fontId="49" fillId="32" borderId="35" xfId="33021" applyFont="1" applyFill="1" applyBorder="1" applyProtection="1"/>
    <xf numFmtId="43" fontId="63" fillId="29" borderId="29" xfId="33021" applyFont="1" applyFill="1" applyBorder="1" applyProtection="1">
      <protection locked="0"/>
    </xf>
    <xf numFmtId="43" fontId="63" fillId="32" borderId="32" xfId="33021" applyFont="1" applyFill="1" applyBorder="1" applyProtection="1">
      <protection locked="0"/>
    </xf>
    <xf numFmtId="0" fontId="63" fillId="33" borderId="0" xfId="0" applyFont="1" applyFill="1" applyAlignment="1" applyProtection="1">
      <alignment horizontal="center"/>
      <protection locked="0"/>
    </xf>
    <xf numFmtId="8" fontId="63" fillId="33" borderId="0" xfId="0" applyNumberFormat="1" applyFont="1" applyFill="1" applyProtection="1">
      <protection locked="0"/>
    </xf>
    <xf numFmtId="175" fontId="66" fillId="33" borderId="31" xfId="33021" applyNumberFormat="1" applyFont="1" applyFill="1" applyBorder="1" applyProtection="1">
      <protection locked="0"/>
    </xf>
    <xf numFmtId="175" fontId="66" fillId="33" borderId="0" xfId="33021" applyNumberFormat="1" applyFont="1" applyFill="1" applyBorder="1" applyProtection="1">
      <protection locked="0"/>
    </xf>
    <xf numFmtId="175" fontId="66" fillId="33" borderId="0" xfId="0" applyNumberFormat="1" applyFont="1" applyFill="1" applyProtection="1">
      <protection locked="0"/>
    </xf>
    <xf numFmtId="0" fontId="0" fillId="33" borderId="0" xfId="0" applyFill="1"/>
    <xf numFmtId="0" fontId="63" fillId="32" borderId="36" xfId="0" applyFont="1" applyFill="1" applyBorder="1" applyAlignment="1" applyProtection="1">
      <alignment horizontal="center"/>
      <protection locked="0"/>
    </xf>
    <xf numFmtId="8" fontId="63" fillId="32" borderId="36" xfId="0" applyNumberFormat="1" applyFont="1" applyFill="1" applyBorder="1" applyProtection="1">
      <protection locked="0"/>
    </xf>
    <xf numFmtId="175" fontId="66" fillId="32" borderId="29" xfId="33021" applyNumberFormat="1" applyFont="1" applyFill="1" applyBorder="1" applyProtection="1">
      <protection locked="0"/>
    </xf>
    <xf numFmtId="175" fontId="66" fillId="32" borderId="36" xfId="33021" applyNumberFormat="1" applyFont="1" applyFill="1" applyBorder="1" applyProtection="1">
      <protection locked="0"/>
    </xf>
    <xf numFmtId="175" fontId="66" fillId="32" borderId="36" xfId="0" applyNumberFormat="1" applyFont="1" applyFill="1" applyBorder="1" applyProtection="1">
      <protection locked="0"/>
    </xf>
    <xf numFmtId="0" fontId="0" fillId="32" borderId="36" xfId="0" applyFill="1" applyBorder="1"/>
    <xf numFmtId="0" fontId="57" fillId="0" borderId="0" xfId="0" applyFont="1" applyAlignment="1" applyProtection="1">
      <alignment horizontal="left" wrapText="1"/>
      <protection locked="0"/>
    </xf>
    <xf numFmtId="0" fontId="49" fillId="29" borderId="36" xfId="0" applyFont="1" applyFill="1" applyBorder="1" applyAlignment="1">
      <alignment horizontal="left"/>
    </xf>
    <xf numFmtId="8" fontId="0" fillId="0" borderId="31" xfId="0" applyNumberFormat="1" applyBorder="1"/>
    <xf numFmtId="44" fontId="0" fillId="0" borderId="35" xfId="0" applyNumberFormat="1" applyBorder="1"/>
    <xf numFmtId="8" fontId="0" fillId="0" borderId="29" xfId="0" applyNumberFormat="1" applyBorder="1"/>
    <xf numFmtId="44" fontId="0" fillId="0" borderId="32" xfId="0" applyNumberFormat="1" applyBorder="1"/>
    <xf numFmtId="0" fontId="48" fillId="29" borderId="33" xfId="0" applyFont="1" applyFill="1" applyBorder="1" applyAlignment="1">
      <alignment horizontal="left"/>
    </xf>
    <xf numFmtId="0" fontId="48" fillId="29" borderId="1" xfId="0" quotePrefix="1" applyFont="1" applyFill="1" applyBorder="1" applyAlignment="1">
      <alignment horizontal="center"/>
    </xf>
    <xf numFmtId="0" fontId="0" fillId="29" borderId="36" xfId="0" applyFill="1" applyBorder="1"/>
    <xf numFmtId="0" fontId="72" fillId="29" borderId="36" xfId="0" applyFont="1" applyFill="1" applyBorder="1"/>
    <xf numFmtId="0" fontId="48" fillId="29" borderId="40" xfId="0" applyFont="1" applyFill="1" applyBorder="1" applyAlignment="1">
      <alignment horizontal="left"/>
    </xf>
    <xf numFmtId="175" fontId="66" fillId="29" borderId="31" xfId="33021" applyNumberFormat="1" applyFont="1" applyFill="1" applyBorder="1" applyProtection="1">
      <protection locked="0"/>
    </xf>
    <xf numFmtId="175" fontId="66" fillId="29" borderId="0" xfId="33021" applyNumberFormat="1" applyFont="1" applyFill="1" applyBorder="1" applyProtection="1">
      <protection locked="0"/>
    </xf>
    <xf numFmtId="175" fontId="66" fillId="29" borderId="0" xfId="0" applyNumberFormat="1" applyFont="1" applyFill="1" applyProtection="1">
      <protection locked="0"/>
    </xf>
    <xf numFmtId="0" fontId="63" fillId="29" borderId="0" xfId="0" quotePrefix="1" applyFont="1" applyFill="1" applyAlignment="1" applyProtection="1">
      <alignment horizontal="center"/>
      <protection locked="0"/>
    </xf>
    <xf numFmtId="43" fontId="50" fillId="29" borderId="0" xfId="33021" applyFont="1" applyFill="1" applyProtection="1">
      <protection locked="0"/>
    </xf>
    <xf numFmtId="0" fontId="50" fillId="29" borderId="0" xfId="0" applyFont="1" applyFill="1" applyAlignment="1">
      <alignment horizontal="right"/>
    </xf>
    <xf numFmtId="8" fontId="50" fillId="29" borderId="0" xfId="0" applyNumberFormat="1" applyFont="1" applyFill="1" applyProtection="1">
      <protection locked="0"/>
    </xf>
    <xf numFmtId="0" fontId="72" fillId="29" borderId="0" xfId="0" applyFont="1" applyFill="1"/>
    <xf numFmtId="173" fontId="63" fillId="29" borderId="0" xfId="1" applyNumberFormat="1" applyFont="1" applyFill="1" applyProtection="1">
      <protection locked="0"/>
    </xf>
    <xf numFmtId="7" fontId="63" fillId="29" borderId="0" xfId="20251" applyNumberFormat="1" applyFont="1" applyFill="1" applyProtection="1">
      <protection locked="0"/>
    </xf>
    <xf numFmtId="7" fontId="63" fillId="29" borderId="0" xfId="20251" applyNumberFormat="1" applyFont="1" applyFill="1" applyBorder="1" applyProtection="1">
      <protection locked="0"/>
    </xf>
    <xf numFmtId="168" fontId="63" fillId="29" borderId="0" xfId="33021" applyNumberFormat="1" applyFont="1" applyFill="1" applyProtection="1">
      <protection locked="0"/>
    </xf>
    <xf numFmtId="168" fontId="63" fillId="29" borderId="0" xfId="33021" applyNumberFormat="1" applyFont="1" applyFill="1" applyBorder="1" applyProtection="1">
      <protection locked="0"/>
    </xf>
    <xf numFmtId="0" fontId="57" fillId="29" borderId="0" xfId="0" applyFont="1" applyFill="1" applyAlignment="1" applyProtection="1">
      <alignment horizontal="left" wrapText="1"/>
      <protection locked="0"/>
    </xf>
    <xf numFmtId="0" fontId="47" fillId="29" borderId="0" xfId="0" applyFont="1" applyFill="1" applyAlignment="1">
      <alignment horizontal="center"/>
    </xf>
    <xf numFmtId="0" fontId="47" fillId="33" borderId="0" xfId="0" applyFont="1" applyFill="1" applyAlignment="1">
      <alignment horizontal="center"/>
    </xf>
    <xf numFmtId="0" fontId="47" fillId="32" borderId="36" xfId="0" applyFont="1" applyFill="1" applyBorder="1" applyAlignment="1">
      <alignment horizontal="center"/>
    </xf>
    <xf numFmtId="0" fontId="47" fillId="29" borderId="0" xfId="0" applyFont="1" applyFill="1"/>
    <xf numFmtId="43" fontId="63" fillId="33" borderId="0" xfId="33021" applyFont="1" applyFill="1" applyProtection="1"/>
    <xf numFmtId="43" fontId="63" fillId="32" borderId="36" xfId="33021" applyFont="1" applyFill="1" applyBorder="1" applyProtection="1"/>
    <xf numFmtId="0" fontId="47" fillId="0" borderId="36" xfId="33022" applyFont="1" applyBorder="1"/>
    <xf numFmtId="44" fontId="47" fillId="29" borderId="0" xfId="20251" applyFont="1" applyFill="1"/>
    <xf numFmtId="167" fontId="47" fillId="29" borderId="0" xfId="0" applyNumberFormat="1" applyFont="1" applyFill="1"/>
    <xf numFmtId="0" fontId="47" fillId="29" borderId="0" xfId="0" quotePrefix="1" applyFont="1" applyFill="1" applyAlignment="1">
      <alignment horizontal="right"/>
    </xf>
    <xf numFmtId="43" fontId="47" fillId="29" borderId="0" xfId="33021" applyFont="1" applyFill="1"/>
    <xf numFmtId="43" fontId="47" fillId="29" borderId="0" xfId="0" applyNumberFormat="1" applyFont="1" applyFill="1"/>
    <xf numFmtId="0" fontId="48" fillId="29" borderId="40" xfId="0" applyFont="1" applyFill="1" applyBorder="1"/>
    <xf numFmtId="10" fontId="0" fillId="29" borderId="0" xfId="1" applyNumberFormat="1" applyFont="1" applyFill="1"/>
    <xf numFmtId="8" fontId="63" fillId="29" borderId="0" xfId="1" applyNumberFormat="1" applyFont="1" applyFill="1" applyProtection="1">
      <protection locked="0"/>
    </xf>
    <xf numFmtId="8" fontId="63" fillId="29" borderId="0" xfId="20251" applyNumberFormat="1" applyFont="1" applyFill="1" applyProtection="1">
      <protection locked="0"/>
    </xf>
    <xf numFmtId="43" fontId="49" fillId="29" borderId="36" xfId="4" applyFont="1" applyFill="1" applyBorder="1" applyAlignment="1" applyProtection="1">
      <alignment horizontal="center"/>
    </xf>
    <xf numFmtId="8" fontId="63" fillId="29" borderId="36" xfId="20251" applyNumberFormat="1" applyFont="1" applyFill="1" applyBorder="1" applyProtection="1">
      <protection locked="0"/>
    </xf>
    <xf numFmtId="174" fontId="47" fillId="29" borderId="0" xfId="33022" applyNumberFormat="1" applyFont="1" applyFill="1"/>
    <xf numFmtId="174" fontId="53" fillId="29" borderId="0" xfId="0" quotePrefix="1" applyNumberFormat="1" applyFont="1" applyFill="1" applyProtection="1">
      <protection locked="0"/>
    </xf>
    <xf numFmtId="174" fontId="53" fillId="29" borderId="0" xfId="4" applyNumberFormat="1" applyFont="1" applyFill="1" applyBorder="1" applyProtection="1">
      <protection locked="0"/>
    </xf>
    <xf numFmtId="0" fontId="50" fillId="29" borderId="0" xfId="0" applyFont="1" applyFill="1"/>
    <xf numFmtId="0" fontId="76" fillId="29" borderId="0" xfId="0" applyFont="1" applyFill="1"/>
    <xf numFmtId="0" fontId="95" fillId="29" borderId="0" xfId="0" applyFont="1" applyFill="1"/>
    <xf numFmtId="174" fontId="94" fillId="29" borderId="0" xfId="33021" applyNumberFormat="1" applyFont="1" applyFill="1" applyBorder="1" applyProtection="1">
      <protection locked="0"/>
    </xf>
    <xf numFmtId="174" fontId="53" fillId="29" borderId="0" xfId="33021" applyNumberFormat="1" applyFont="1" applyFill="1" applyBorder="1" applyProtection="1">
      <protection locked="0"/>
    </xf>
    <xf numFmtId="174" fontId="53" fillId="29" borderId="0" xfId="0" applyNumberFormat="1" applyFont="1" applyFill="1" applyProtection="1">
      <protection locked="0"/>
    </xf>
    <xf numFmtId="174" fontId="59" fillId="29" borderId="0" xfId="0" applyNumberFormat="1" applyFont="1" applyFill="1"/>
    <xf numFmtId="174" fontId="2" fillId="29" borderId="0" xfId="0" applyNumberFormat="1" applyFont="1" applyFill="1" applyAlignment="1">
      <alignment horizontal="center"/>
    </xf>
    <xf numFmtId="174" fontId="64" fillId="29" borderId="0" xfId="0" applyNumberFormat="1" applyFont="1" applyFill="1"/>
    <xf numFmtId="174" fontId="76" fillId="29" borderId="0" xfId="0" applyNumberFormat="1" applyFont="1" applyFill="1"/>
    <xf numFmtId="174" fontId="65" fillId="29" borderId="0" xfId="0" applyNumberFormat="1" applyFont="1" applyFill="1"/>
    <xf numFmtId="174" fontId="0" fillId="29" borderId="0" xfId="0" applyNumberFormat="1" applyFill="1"/>
    <xf numFmtId="174" fontId="70" fillId="29" borderId="0" xfId="0" applyNumberFormat="1" applyFont="1" applyFill="1"/>
    <xf numFmtId="174" fontId="60" fillId="29" borderId="0" xfId="0" applyNumberFormat="1" applyFont="1" applyFill="1"/>
    <xf numFmtId="174" fontId="67" fillId="29" borderId="0" xfId="33021" applyNumberFormat="1" applyFont="1" applyFill="1" applyProtection="1">
      <protection locked="0"/>
    </xf>
    <xf numFmtId="174" fontId="73" fillId="29" borderId="0" xfId="33021" applyNumberFormat="1" applyFont="1" applyFill="1" applyProtection="1">
      <protection locked="0"/>
    </xf>
    <xf numFmtId="174" fontId="68" fillId="29" borderId="0" xfId="0" applyNumberFormat="1" applyFont="1" applyFill="1"/>
    <xf numFmtId="0" fontId="49" fillId="29" borderId="0" xfId="33022" applyFont="1" applyFill="1"/>
    <xf numFmtId="170" fontId="63" fillId="29" borderId="0" xfId="0" quotePrefix="1" applyNumberFormat="1" applyFont="1" applyFill="1" applyProtection="1">
      <protection locked="0"/>
    </xf>
    <xf numFmtId="171" fontId="63" fillId="29" borderId="0" xfId="4" applyNumberFormat="1" applyFont="1" applyFill="1" applyBorder="1" applyProtection="1">
      <protection locked="0"/>
    </xf>
    <xf numFmtId="172" fontId="49" fillId="29" borderId="0" xfId="4" applyNumberFormat="1" applyFont="1" applyFill="1" applyBorder="1" applyProtection="1"/>
    <xf numFmtId="43" fontId="49" fillId="29" borderId="0" xfId="4" applyFont="1" applyFill="1" applyBorder="1" applyProtection="1"/>
    <xf numFmtId="176" fontId="49" fillId="29" borderId="0" xfId="4" applyNumberFormat="1" applyFont="1" applyFill="1" applyBorder="1" applyProtection="1"/>
    <xf numFmtId="0" fontId="63" fillId="29" borderId="0" xfId="33022" applyFont="1" applyFill="1"/>
    <xf numFmtId="168" fontId="49" fillId="29" borderId="0" xfId="4" quotePrefix="1" applyNumberFormat="1" applyFont="1" applyFill="1" applyBorder="1" applyProtection="1"/>
    <xf numFmtId="0" fontId="49" fillId="29" borderId="0" xfId="33022" quotePrefix="1" applyFont="1" applyFill="1" applyAlignment="1">
      <alignment horizontal="right"/>
    </xf>
    <xf numFmtId="44" fontId="49" fillId="29" borderId="0" xfId="20251" applyFont="1" applyFill="1"/>
    <xf numFmtId="167" fontId="49" fillId="29" borderId="0" xfId="0" applyNumberFormat="1" applyFont="1" applyFill="1"/>
    <xf numFmtId="44" fontId="49" fillId="29" borderId="0" xfId="20251" quotePrefix="1" applyFont="1" applyFill="1"/>
    <xf numFmtId="7" fontId="49" fillId="29" borderId="0" xfId="0" applyNumberFormat="1" applyFont="1" applyFill="1"/>
    <xf numFmtId="172" fontId="49" fillId="29" borderId="0" xfId="0" applyNumberFormat="1" applyFont="1" applyFill="1"/>
    <xf numFmtId="43" fontId="49" fillId="29" borderId="0" xfId="0" applyNumberFormat="1" applyFont="1" applyFill="1"/>
    <xf numFmtId="0" fontId="49" fillId="29" borderId="0" xfId="33022" applyFont="1" applyFill="1" applyAlignment="1">
      <alignment horizontal="right"/>
    </xf>
    <xf numFmtId="168" fontId="63" fillId="29" borderId="0" xfId="4" applyNumberFormat="1" applyFont="1" applyFill="1" applyBorder="1" applyProtection="1">
      <protection locked="0"/>
    </xf>
    <xf numFmtId="43" fontId="63" fillId="29" borderId="0" xfId="4" applyFont="1" applyFill="1" applyBorder="1" applyProtection="1">
      <protection locked="0"/>
    </xf>
    <xf numFmtId="0" fontId="63" fillId="29" borderId="0" xfId="33022" applyFont="1" applyFill="1" applyAlignment="1" applyProtection="1">
      <alignment horizontal="right"/>
      <protection locked="0"/>
    </xf>
    <xf numFmtId="43" fontId="49" fillId="29" borderId="0" xfId="33021" applyFont="1" applyFill="1"/>
    <xf numFmtId="167" fontId="57" fillId="29" borderId="0" xfId="0" applyNumberFormat="1" applyFont="1" applyFill="1"/>
    <xf numFmtId="170" fontId="63" fillId="29" borderId="0" xfId="0" applyNumberFormat="1" applyFont="1" applyFill="1" applyProtection="1">
      <protection locked="0"/>
    </xf>
    <xf numFmtId="171" fontId="63" fillId="29" borderId="0" xfId="0" applyNumberFormat="1" applyFont="1" applyFill="1" applyProtection="1">
      <protection locked="0"/>
    </xf>
    <xf numFmtId="168" fontId="63" fillId="29" borderId="0" xfId="0" applyNumberFormat="1" applyFont="1" applyFill="1" applyProtection="1">
      <protection locked="0"/>
    </xf>
    <xf numFmtId="43" fontId="63" fillId="29" borderId="0" xfId="0" applyNumberFormat="1" applyFont="1" applyFill="1" applyProtection="1">
      <protection locked="0"/>
    </xf>
    <xf numFmtId="0" fontId="63" fillId="29" borderId="0" xfId="0" applyFont="1" applyFill="1" applyAlignment="1" applyProtection="1">
      <alignment horizontal="right"/>
      <protection locked="0"/>
    </xf>
    <xf numFmtId="176" fontId="49" fillId="29" borderId="0" xfId="0" applyNumberFormat="1" applyFont="1" applyFill="1"/>
    <xf numFmtId="3" fontId="63" fillId="29" borderId="0" xfId="0" applyNumberFormat="1" applyFont="1" applyFill="1" applyProtection="1">
      <protection locked="0"/>
    </xf>
    <xf numFmtId="171" fontId="49" fillId="29" borderId="0" xfId="4" applyNumberFormat="1" applyFont="1" applyFill="1" applyBorder="1" applyProtection="1"/>
    <xf numFmtId="7" fontId="49" fillId="29" borderId="0" xfId="20251" applyNumberFormat="1" applyFont="1" applyFill="1"/>
    <xf numFmtId="0" fontId="48" fillId="29" borderId="0" xfId="0" quotePrefix="1" applyFont="1" applyFill="1"/>
    <xf numFmtId="174" fontId="109" fillId="29" borderId="0" xfId="0" quotePrefix="1" applyNumberFormat="1" applyFont="1" applyFill="1"/>
    <xf numFmtId="174" fontId="109" fillId="29" borderId="0" xfId="4" applyNumberFormat="1" applyFont="1" applyFill="1" applyBorder="1" applyProtection="1"/>
    <xf numFmtId="9" fontId="49" fillId="29" borderId="0" xfId="1" applyFont="1" applyFill="1"/>
    <xf numFmtId="9" fontId="49" fillId="29" borderId="0" xfId="1" quotePrefix="1" applyFont="1" applyFill="1"/>
    <xf numFmtId="0" fontId="49" fillId="29" borderId="40" xfId="0" applyFont="1" applyFill="1" applyBorder="1"/>
    <xf numFmtId="0" fontId="48" fillId="33" borderId="40" xfId="0" quotePrefix="1" applyFont="1" applyFill="1" applyBorder="1" applyAlignment="1">
      <alignment horizontal="center"/>
    </xf>
    <xf numFmtId="0" fontId="48" fillId="33" borderId="40" xfId="0" applyFont="1" applyFill="1" applyBorder="1" applyAlignment="1">
      <alignment horizontal="right"/>
    </xf>
    <xf numFmtId="6" fontId="49" fillId="33" borderId="34" xfId="0" applyNumberFormat="1" applyFont="1" applyFill="1" applyBorder="1"/>
    <xf numFmtId="10" fontId="49" fillId="33" borderId="41" xfId="1" applyNumberFormat="1" applyFont="1" applyFill="1" applyBorder="1" applyProtection="1"/>
    <xf numFmtId="38" fontId="49" fillId="33" borderId="31" xfId="33021" applyNumberFormat="1" applyFont="1" applyFill="1" applyBorder="1" applyProtection="1"/>
    <xf numFmtId="10" fontId="49" fillId="33" borderId="35" xfId="0" applyNumberFormat="1" applyFont="1" applyFill="1" applyBorder="1"/>
    <xf numFmtId="6" fontId="49" fillId="33" borderId="31" xfId="33021" applyNumberFormat="1" applyFont="1" applyFill="1" applyBorder="1" applyProtection="1"/>
    <xf numFmtId="6" fontId="49" fillId="33" borderId="29" xfId="0" applyNumberFormat="1" applyFont="1" applyFill="1" applyBorder="1"/>
    <xf numFmtId="10" fontId="49" fillId="33" borderId="32" xfId="0" applyNumberFormat="1" applyFont="1" applyFill="1" applyBorder="1"/>
    <xf numFmtId="37" fontId="49" fillId="33" borderId="31" xfId="0" applyNumberFormat="1" applyFont="1" applyFill="1" applyBorder="1"/>
    <xf numFmtId="37" fontId="49" fillId="33" borderId="29" xfId="0" applyNumberFormat="1" applyFont="1" applyFill="1" applyBorder="1"/>
    <xf numFmtId="0" fontId="48" fillId="32" borderId="33" xfId="0" quotePrefix="1" applyFont="1" applyFill="1" applyBorder="1" applyAlignment="1">
      <alignment horizontal="center"/>
    </xf>
    <xf numFmtId="0" fontId="48" fillId="32" borderId="53" xfId="0" applyFont="1" applyFill="1" applyBorder="1" applyAlignment="1">
      <alignment horizontal="right"/>
    </xf>
    <xf numFmtId="6" fontId="49" fillId="32" borderId="0" xfId="0" applyNumberFormat="1" applyFont="1" applyFill="1"/>
    <xf numFmtId="10" fontId="49" fillId="32" borderId="41" xfId="1" applyNumberFormat="1" applyFont="1" applyFill="1" applyBorder="1" applyProtection="1"/>
    <xf numFmtId="38" fontId="49" fillId="32" borderId="0" xfId="33021" applyNumberFormat="1" applyFont="1" applyFill="1" applyBorder="1" applyProtection="1"/>
    <xf numFmtId="10" fontId="49" fillId="32" borderId="35" xfId="0" applyNumberFormat="1" applyFont="1" applyFill="1" applyBorder="1"/>
    <xf numFmtId="6" fontId="49" fillId="32" borderId="0" xfId="33021" applyNumberFormat="1" applyFont="1" applyFill="1" applyBorder="1" applyProtection="1"/>
    <xf numFmtId="6" fontId="49" fillId="32" borderId="36" xfId="0" applyNumberFormat="1" applyFont="1" applyFill="1" applyBorder="1"/>
    <xf numFmtId="10" fontId="49" fillId="32" borderId="32" xfId="0" applyNumberFormat="1" applyFont="1" applyFill="1" applyBorder="1"/>
    <xf numFmtId="37" fontId="49" fillId="32" borderId="0" xfId="0" applyNumberFormat="1" applyFont="1" applyFill="1"/>
    <xf numFmtId="37" fontId="49" fillId="32" borderId="36" xfId="0" applyNumberFormat="1" applyFont="1" applyFill="1" applyBorder="1"/>
    <xf numFmtId="0" fontId="50" fillId="33" borderId="0" xfId="0" applyFont="1" applyFill="1" applyAlignment="1">
      <alignment horizontal="right" wrapText="1"/>
    </xf>
    <xf numFmtId="0" fontId="72" fillId="33" borderId="0" xfId="0" applyFont="1" applyFill="1" applyAlignment="1">
      <alignment horizontal="right"/>
    </xf>
    <xf numFmtId="0" fontId="72" fillId="33" borderId="36" xfId="0" applyFont="1" applyFill="1" applyBorder="1" applyAlignment="1">
      <alignment horizontal="right"/>
    </xf>
    <xf numFmtId="10" fontId="50" fillId="33" borderId="36" xfId="1" applyNumberFormat="1" applyFont="1" applyFill="1" applyBorder="1" applyAlignment="1" applyProtection="1">
      <alignment horizontal="right"/>
    </xf>
    <xf numFmtId="0" fontId="49" fillId="33" borderId="42" xfId="0" quotePrefix="1" applyFont="1" applyFill="1" applyBorder="1" applyAlignment="1">
      <alignment horizontal="center"/>
    </xf>
    <xf numFmtId="0" fontId="63" fillId="33" borderId="42" xfId="0" quotePrefix="1" applyFont="1" applyFill="1" applyBorder="1" applyProtection="1">
      <protection locked="0"/>
    </xf>
    <xf numFmtId="10" fontId="63" fillId="33" borderId="0" xfId="1" applyNumberFormat="1" applyFont="1" applyFill="1" applyProtection="1">
      <protection locked="0"/>
    </xf>
    <xf numFmtId="10" fontId="50" fillId="33" borderId="0" xfId="1" applyNumberFormat="1" applyFont="1" applyFill="1" applyProtection="1">
      <protection locked="0"/>
    </xf>
    <xf numFmtId="171" fontId="49" fillId="33" borderId="0" xfId="33021" applyNumberFormat="1" applyFont="1" applyFill="1" applyProtection="1"/>
    <xf numFmtId="171" fontId="50" fillId="33" borderId="0" xfId="33021" applyNumberFormat="1" applyFont="1" applyFill="1" applyProtection="1"/>
    <xf numFmtId="39" fontId="49" fillId="33" borderId="0" xfId="0" applyNumberFormat="1" applyFont="1" applyFill="1"/>
    <xf numFmtId="0" fontId="49" fillId="33" borderId="0" xfId="0" quotePrefix="1" applyFont="1" applyFill="1" applyAlignment="1">
      <alignment horizontal="center"/>
    </xf>
    <xf numFmtId="0" fontId="63" fillId="33" borderId="0" xfId="0" quotePrefix="1" applyFont="1" applyFill="1" applyProtection="1">
      <protection locked="0"/>
    </xf>
    <xf numFmtId="0" fontId="49" fillId="33" borderId="36" xfId="0" quotePrefix="1" applyFont="1" applyFill="1" applyBorder="1" applyAlignment="1">
      <alignment horizontal="center"/>
    </xf>
    <xf numFmtId="0" fontId="63" fillId="33" borderId="36" xfId="0" quotePrefix="1" applyFont="1" applyFill="1" applyBorder="1" applyProtection="1">
      <protection locked="0"/>
    </xf>
    <xf numFmtId="10" fontId="63" fillId="33" borderId="36" xfId="1" applyNumberFormat="1" applyFont="1" applyFill="1" applyBorder="1" applyProtection="1">
      <protection locked="0"/>
    </xf>
    <xf numFmtId="10" fontId="50" fillId="33" borderId="36" xfId="1" applyNumberFormat="1" applyFont="1" applyFill="1" applyBorder="1" applyProtection="1">
      <protection locked="0"/>
    </xf>
    <xf numFmtId="171" fontId="49" fillId="33" borderId="36" xfId="33021" applyNumberFormat="1" applyFont="1" applyFill="1" applyBorder="1" applyProtection="1"/>
    <xf numFmtId="171" fontId="50" fillId="33" borderId="36" xfId="33021" applyNumberFormat="1" applyFont="1" applyFill="1" applyBorder="1" applyProtection="1"/>
    <xf numFmtId="39" fontId="49" fillId="33" borderId="36" xfId="0" applyNumberFormat="1" applyFont="1" applyFill="1" applyBorder="1"/>
    <xf numFmtId="10" fontId="49" fillId="33" borderId="0" xfId="1" applyNumberFormat="1" applyFont="1" applyFill="1" applyBorder="1" applyAlignment="1" applyProtection="1">
      <alignment horizontal="right"/>
    </xf>
    <xf numFmtId="10" fontId="50" fillId="33" borderId="0" xfId="1" applyNumberFormat="1" applyFont="1" applyFill="1" applyBorder="1" applyProtection="1">
      <protection locked="0"/>
    </xf>
    <xf numFmtId="171" fontId="49" fillId="33" borderId="0" xfId="33021" applyNumberFormat="1" applyFont="1" applyFill="1" applyBorder="1" applyProtection="1"/>
    <xf numFmtId="171" fontId="50" fillId="33" borderId="0" xfId="33021" quotePrefix="1" applyNumberFormat="1" applyFont="1" applyFill="1" applyBorder="1" applyProtection="1"/>
    <xf numFmtId="0" fontId="50" fillId="32" borderId="0" xfId="0" applyFont="1" applyFill="1" applyAlignment="1">
      <alignment horizontal="right" wrapText="1"/>
    </xf>
    <xf numFmtId="0" fontId="72" fillId="32" borderId="0" xfId="0" applyFont="1" applyFill="1"/>
    <xf numFmtId="10" fontId="50" fillId="32" borderId="36" xfId="1" applyNumberFormat="1" applyFont="1" applyFill="1" applyBorder="1" applyProtection="1">
      <protection locked="0"/>
    </xf>
    <xf numFmtId="171" fontId="50" fillId="32" borderId="36" xfId="33021" applyNumberFormat="1" applyFont="1" applyFill="1" applyBorder="1" applyProtection="1"/>
    <xf numFmtId="0" fontId="49" fillId="32" borderId="42" xfId="0" quotePrefix="1" applyFont="1" applyFill="1" applyBorder="1" applyAlignment="1">
      <alignment horizontal="center"/>
    </xf>
    <xf numFmtId="0" fontId="63" fillId="32" borderId="42" xfId="0" quotePrefix="1" applyFont="1" applyFill="1" applyBorder="1" applyProtection="1">
      <protection locked="0"/>
    </xf>
    <xf numFmtId="10" fontId="63" fillId="32" borderId="0" xfId="1" applyNumberFormat="1" applyFont="1" applyFill="1" applyProtection="1">
      <protection locked="0"/>
    </xf>
    <xf numFmtId="10" fontId="50" fillId="32" borderId="0" xfId="1" applyNumberFormat="1" applyFont="1" applyFill="1" applyProtection="1">
      <protection locked="0"/>
    </xf>
    <xf numFmtId="171" fontId="49" fillId="32" borderId="0" xfId="33021" applyNumberFormat="1" applyFont="1" applyFill="1" applyProtection="1"/>
    <xf numFmtId="171" fontId="50" fillId="32" borderId="0" xfId="33021" applyNumberFormat="1" applyFont="1" applyFill="1" applyProtection="1"/>
    <xf numFmtId="39" fontId="49" fillId="32" borderId="0" xfId="0" applyNumberFormat="1" applyFont="1" applyFill="1"/>
    <xf numFmtId="0" fontId="49" fillId="32" borderId="0" xfId="0" quotePrefix="1" applyFont="1" applyFill="1" applyAlignment="1">
      <alignment horizontal="center"/>
    </xf>
    <xf numFmtId="0" fontId="63" fillId="32" borderId="0" xfId="0" quotePrefix="1" applyFont="1" applyFill="1" applyProtection="1">
      <protection locked="0"/>
    </xf>
    <xf numFmtId="0" fontId="49" fillId="32" borderId="36" xfId="0" quotePrefix="1" applyFont="1" applyFill="1" applyBorder="1" applyAlignment="1">
      <alignment horizontal="center"/>
    </xf>
    <xf numFmtId="0" fontId="63" fillId="32" borderId="36" xfId="0" quotePrefix="1" applyFont="1" applyFill="1" applyBorder="1" applyProtection="1">
      <protection locked="0"/>
    </xf>
    <xf numFmtId="10" fontId="63" fillId="32" borderId="36" xfId="1" applyNumberFormat="1" applyFont="1" applyFill="1" applyBorder="1" applyProtection="1">
      <protection locked="0"/>
    </xf>
    <xf numFmtId="171" fontId="49" fillId="32" borderId="36" xfId="33021" applyNumberFormat="1" applyFont="1" applyFill="1" applyBorder="1" applyProtection="1"/>
    <xf numFmtId="39" fontId="49" fillId="32" borderId="36" xfId="0" applyNumberFormat="1" applyFont="1" applyFill="1" applyBorder="1"/>
    <xf numFmtId="0" fontId="51" fillId="32" borderId="0" xfId="0" quotePrefix="1" applyFont="1" applyFill="1"/>
    <xf numFmtId="0" fontId="51" fillId="32" borderId="0" xfId="0" applyFont="1" applyFill="1"/>
    <xf numFmtId="10" fontId="49" fillId="32" borderId="0" xfId="1" applyNumberFormat="1" applyFont="1" applyFill="1" applyBorder="1" applyAlignment="1" applyProtection="1">
      <alignment horizontal="right"/>
    </xf>
    <xf numFmtId="10" fontId="50" fillId="32" borderId="0" xfId="1" applyNumberFormat="1" applyFont="1" applyFill="1" applyBorder="1" applyProtection="1">
      <protection locked="0"/>
    </xf>
    <xf numFmtId="171" fontId="49" fillId="32" borderId="0" xfId="33021" applyNumberFormat="1" applyFont="1" applyFill="1" applyBorder="1" applyProtection="1"/>
    <xf numFmtId="171" fontId="50" fillId="32" borderId="0" xfId="33021" quotePrefix="1" applyNumberFormat="1" applyFont="1" applyFill="1" applyBorder="1" applyProtection="1"/>
    <xf numFmtId="39" fontId="49" fillId="32" borderId="0" xfId="20251" applyNumberFormat="1" applyFont="1" applyFill="1" applyBorder="1" applyProtection="1"/>
    <xf numFmtId="0" fontId="0" fillId="29" borderId="0" xfId="0" applyFill="1" applyProtection="1">
      <protection locked="0"/>
    </xf>
    <xf numFmtId="0" fontId="0" fillId="0" borderId="0" xfId="0" applyProtection="1">
      <protection locked="0"/>
    </xf>
    <xf numFmtId="0" fontId="103" fillId="29" borderId="0" xfId="0" quotePrefix="1" applyFont="1" applyFill="1" applyAlignment="1">
      <alignment horizontal="center"/>
    </xf>
    <xf numFmtId="0" fontId="104" fillId="29" borderId="42" xfId="0" applyFont="1" applyFill="1" applyBorder="1" applyAlignment="1">
      <alignment horizontal="center"/>
    </xf>
    <xf numFmtId="0" fontId="100" fillId="29" borderId="36" xfId="0" applyFont="1" applyFill="1" applyBorder="1" applyAlignment="1">
      <alignment horizontal="center" vertical="center"/>
    </xf>
    <xf numFmtId="0" fontId="101" fillId="29" borderId="0" xfId="0" applyFont="1" applyFill="1" applyAlignment="1">
      <alignment horizontal="left" vertical="center" wrapText="1"/>
    </xf>
    <xf numFmtId="0" fontId="100" fillId="29" borderId="0" xfId="0" applyFont="1" applyFill="1" applyAlignment="1">
      <alignment horizontal="left" vertical="center" wrapText="1"/>
    </xf>
    <xf numFmtId="0" fontId="91" fillId="29" borderId="0" xfId="0" applyFont="1" applyFill="1" applyAlignment="1">
      <alignment horizontal="left" vertical="center" wrapText="1"/>
    </xf>
    <xf numFmtId="0" fontId="49" fillId="29" borderId="42" xfId="0" applyFont="1" applyFill="1" applyBorder="1" applyAlignment="1">
      <alignment horizontal="left" wrapText="1"/>
    </xf>
    <xf numFmtId="0" fontId="49" fillId="29" borderId="0" xfId="0" applyFont="1" applyFill="1" applyAlignment="1">
      <alignment horizontal="left" wrapText="1"/>
    </xf>
    <xf numFmtId="0" fontId="48" fillId="29" borderId="33" xfId="0" applyFont="1" applyFill="1" applyBorder="1" applyAlignment="1">
      <alignment horizontal="left"/>
    </xf>
    <xf numFmtId="0" fontId="48" fillId="29" borderId="40" xfId="0" applyFont="1" applyFill="1" applyBorder="1" applyAlignment="1">
      <alignment horizontal="left"/>
    </xf>
    <xf numFmtId="0" fontId="48" fillId="29" borderId="30" xfId="0" applyFont="1" applyFill="1" applyBorder="1" applyAlignment="1">
      <alignment horizontal="left"/>
    </xf>
    <xf numFmtId="0" fontId="48" fillId="29" borderId="39" xfId="0" applyFont="1" applyFill="1" applyBorder="1" applyAlignment="1">
      <alignment horizontal="center"/>
    </xf>
    <xf numFmtId="0" fontId="48" fillId="29" borderId="2" xfId="0" applyFont="1" applyFill="1" applyBorder="1" applyAlignment="1">
      <alignment horizontal="center"/>
    </xf>
    <xf numFmtId="0" fontId="48" fillId="29" borderId="39" xfId="0" applyFont="1" applyFill="1" applyBorder="1" applyAlignment="1">
      <alignment horizontal="center" wrapText="1"/>
    </xf>
    <xf numFmtId="0" fontId="48" fillId="29" borderId="2" xfId="0" applyFont="1" applyFill="1" applyBorder="1" applyAlignment="1">
      <alignment horizontal="center" wrapText="1"/>
    </xf>
    <xf numFmtId="0" fontId="48" fillId="33" borderId="34" xfId="0" applyFont="1" applyFill="1" applyBorder="1" applyAlignment="1">
      <alignment horizontal="center" wrapText="1"/>
    </xf>
    <xf numFmtId="0" fontId="48" fillId="33" borderId="41" xfId="0" applyFont="1" applyFill="1" applyBorder="1" applyAlignment="1">
      <alignment horizontal="center" wrapText="1"/>
    </xf>
    <xf numFmtId="0" fontId="48" fillId="33" borderId="29" xfId="0" applyFont="1" applyFill="1" applyBorder="1" applyAlignment="1">
      <alignment horizontal="center" wrapText="1"/>
    </xf>
    <xf numFmtId="0" fontId="48" fillId="33" borderId="32" xfId="0" applyFont="1" applyFill="1" applyBorder="1" applyAlignment="1">
      <alignment horizontal="center" wrapText="1"/>
    </xf>
    <xf numFmtId="0" fontId="48" fillId="32" borderId="42" xfId="0" applyFont="1" applyFill="1" applyBorder="1" applyAlignment="1">
      <alignment horizontal="center" wrapText="1"/>
    </xf>
    <xf numFmtId="0" fontId="48" fillId="32" borderId="41" xfId="0" applyFont="1" applyFill="1" applyBorder="1" applyAlignment="1">
      <alignment horizontal="center" wrapText="1"/>
    </xf>
    <xf numFmtId="0" fontId="48" fillId="32" borderId="36" xfId="0" applyFont="1" applyFill="1" applyBorder="1" applyAlignment="1">
      <alignment horizontal="center" wrapText="1"/>
    </xf>
    <xf numFmtId="0" fontId="48" fillId="32" borderId="32" xfId="0" applyFont="1" applyFill="1" applyBorder="1" applyAlignment="1">
      <alignment horizontal="center" wrapText="1"/>
    </xf>
    <xf numFmtId="0" fontId="44" fillId="0" borderId="0" xfId="0" applyFont="1" applyAlignment="1">
      <alignment horizontal="center" wrapText="1"/>
    </xf>
    <xf numFmtId="0" fontId="44" fillId="0" borderId="35" xfId="0" applyFont="1" applyBorder="1" applyAlignment="1">
      <alignment horizontal="center" wrapText="1"/>
    </xf>
    <xf numFmtId="0" fontId="44" fillId="0" borderId="0" xfId="0" quotePrefix="1" applyFont="1" applyAlignment="1">
      <alignment horizontal="center" wrapText="1"/>
    </xf>
    <xf numFmtId="0" fontId="63" fillId="32" borderId="42" xfId="0" applyFont="1" applyFill="1" applyBorder="1" applyAlignment="1" applyProtection="1">
      <alignment horizontal="center" vertical="center" wrapText="1"/>
      <protection locked="0"/>
    </xf>
    <xf numFmtId="0" fontId="63" fillId="32" borderId="0" xfId="0" applyFont="1" applyFill="1" applyAlignment="1" applyProtection="1">
      <alignment horizontal="center" vertical="center" wrapText="1"/>
      <protection locked="0"/>
    </xf>
    <xf numFmtId="0" fontId="63" fillId="32" borderId="36" xfId="0" applyFont="1" applyFill="1" applyBorder="1" applyAlignment="1" applyProtection="1">
      <alignment horizontal="center" vertical="center" wrapText="1"/>
      <protection locked="0"/>
    </xf>
    <xf numFmtId="0" fontId="49" fillId="33" borderId="0" xfId="0" applyFont="1" applyFill="1" applyAlignment="1">
      <alignment horizontal="right" wrapText="1"/>
    </xf>
    <xf numFmtId="0" fontId="49" fillId="33" borderId="36" xfId="0" applyFont="1" applyFill="1" applyBorder="1" applyAlignment="1">
      <alignment horizontal="right" wrapText="1"/>
    </xf>
    <xf numFmtId="0" fontId="51" fillId="32" borderId="0" xfId="0" applyFont="1" applyFill="1" applyAlignment="1">
      <alignment horizontal="left" wrapText="1"/>
    </xf>
    <xf numFmtId="0" fontId="51" fillId="32" borderId="36" xfId="0" applyFont="1" applyFill="1" applyBorder="1" applyAlignment="1">
      <alignment horizontal="left" wrapText="1"/>
    </xf>
    <xf numFmtId="0" fontId="51" fillId="32" borderId="0" xfId="0" applyFont="1" applyFill="1" applyAlignment="1">
      <alignment horizontal="center" wrapText="1"/>
    </xf>
    <xf numFmtId="0" fontId="51" fillId="32" borderId="36" xfId="0" applyFont="1" applyFill="1" applyBorder="1" applyAlignment="1">
      <alignment horizontal="center" wrapText="1"/>
    </xf>
    <xf numFmtId="0" fontId="51" fillId="32" borderId="0" xfId="0" applyFont="1" applyFill="1" applyAlignment="1">
      <alignment horizontal="center"/>
    </xf>
    <xf numFmtId="0" fontId="51" fillId="32" borderId="36" xfId="0" applyFont="1" applyFill="1" applyBorder="1" applyAlignment="1">
      <alignment horizontal="center"/>
    </xf>
    <xf numFmtId="0" fontId="49" fillId="32" borderId="0" xfId="0" applyFont="1" applyFill="1" applyAlignment="1">
      <alignment horizontal="right" wrapText="1"/>
    </xf>
    <xf numFmtId="0" fontId="49" fillId="32" borderId="36" xfId="0" applyFont="1" applyFill="1" applyBorder="1" applyAlignment="1">
      <alignment horizontal="right" wrapText="1"/>
    </xf>
    <xf numFmtId="9" fontId="49" fillId="29" borderId="0" xfId="1" applyFont="1" applyFill="1" applyBorder="1" applyAlignment="1" applyProtection="1">
      <alignment horizontal="center"/>
    </xf>
    <xf numFmtId="0" fontId="63" fillId="29" borderId="42" xfId="0" applyFont="1" applyFill="1" applyBorder="1" applyAlignment="1" applyProtection="1">
      <alignment horizontal="center" vertical="center" wrapText="1"/>
      <protection locked="0"/>
    </xf>
    <xf numFmtId="0" fontId="63" fillId="29" borderId="0" xfId="0" applyFont="1" applyFill="1" applyAlignment="1" applyProtection="1">
      <alignment horizontal="center" vertical="center" wrapText="1"/>
      <protection locked="0"/>
    </xf>
    <xf numFmtId="0" fontId="63" fillId="29" borderId="36" xfId="0" applyFont="1" applyFill="1" applyBorder="1" applyAlignment="1" applyProtection="1">
      <alignment horizontal="center" vertical="center" wrapText="1"/>
      <protection locked="0"/>
    </xf>
    <xf numFmtId="0" fontId="63" fillId="33" borderId="42" xfId="0" applyFont="1" applyFill="1" applyBorder="1" applyAlignment="1" applyProtection="1">
      <alignment horizontal="center" vertical="center" wrapText="1"/>
      <protection locked="0"/>
    </xf>
    <xf numFmtId="0" fontId="63" fillId="33" borderId="0" xfId="0" applyFont="1" applyFill="1" applyAlignment="1" applyProtection="1">
      <alignment horizontal="center" vertical="center" wrapText="1"/>
      <protection locked="0"/>
    </xf>
    <xf numFmtId="0" fontId="63" fillId="33" borderId="36" xfId="0" applyFont="1" applyFill="1" applyBorder="1" applyAlignment="1" applyProtection="1">
      <alignment horizontal="center" vertical="center" wrapText="1"/>
      <protection locked="0"/>
    </xf>
    <xf numFmtId="0" fontId="81" fillId="29" borderId="40" xfId="0" applyFont="1" applyFill="1" applyBorder="1" applyAlignment="1">
      <alignment horizontal="left"/>
    </xf>
    <xf numFmtId="0" fontId="51" fillId="29" borderId="42" xfId="0" applyFont="1" applyFill="1" applyBorder="1" applyAlignment="1">
      <alignment horizontal="left" wrapText="1"/>
    </xf>
    <xf numFmtId="0" fontId="51" fillId="29" borderId="36" xfId="0" applyFont="1" applyFill="1" applyBorder="1" applyAlignment="1">
      <alignment horizontal="left" wrapText="1"/>
    </xf>
    <xf numFmtId="0" fontId="51" fillId="29" borderId="42" xfId="0" applyFont="1" applyFill="1" applyBorder="1" applyAlignment="1">
      <alignment horizontal="center" wrapText="1"/>
    </xf>
    <xf numFmtId="0" fontId="51" fillId="29" borderId="36" xfId="0" applyFont="1" applyFill="1" applyBorder="1" applyAlignment="1">
      <alignment horizontal="center" wrapText="1"/>
    </xf>
    <xf numFmtId="0" fontId="51" fillId="29" borderId="42" xfId="0" applyFont="1" applyFill="1" applyBorder="1" applyAlignment="1">
      <alignment horizontal="center"/>
    </xf>
    <xf numFmtId="0" fontId="51" fillId="29" borderId="36" xfId="0" applyFont="1" applyFill="1" applyBorder="1" applyAlignment="1">
      <alignment horizontal="center"/>
    </xf>
    <xf numFmtId="0" fontId="51" fillId="29" borderId="42" xfId="0" applyFont="1" applyFill="1" applyBorder="1" applyAlignment="1">
      <alignment horizontal="right" wrapText="1"/>
    </xf>
    <xf numFmtId="0" fontId="51" fillId="29" borderId="36" xfId="0" applyFont="1" applyFill="1" applyBorder="1" applyAlignment="1">
      <alignment horizontal="right" wrapText="1"/>
    </xf>
    <xf numFmtId="0" fontId="50" fillId="29" borderId="42" xfId="0" applyFont="1" applyFill="1" applyBorder="1" applyAlignment="1">
      <alignment horizontal="center" wrapText="1"/>
    </xf>
    <xf numFmtId="0" fontId="50" fillId="29" borderId="36" xfId="0" applyFont="1" applyFill="1" applyBorder="1" applyAlignment="1">
      <alignment horizontal="center" wrapText="1"/>
    </xf>
    <xf numFmtId="0" fontId="49" fillId="29" borderId="42" xfId="0" applyFont="1" applyFill="1" applyBorder="1" applyAlignment="1">
      <alignment horizontal="right" wrapText="1"/>
    </xf>
    <xf numFmtId="0" fontId="49" fillId="29" borderId="36" xfId="0" applyFont="1" applyFill="1" applyBorder="1" applyAlignment="1">
      <alignment horizontal="right" wrapText="1"/>
    </xf>
    <xf numFmtId="0" fontId="51" fillId="33" borderId="0" xfId="0" applyFont="1" applyFill="1" applyAlignment="1">
      <alignment horizontal="left" wrapText="1"/>
    </xf>
    <xf numFmtId="0" fontId="51" fillId="33" borderId="36" xfId="0" applyFont="1" applyFill="1" applyBorder="1" applyAlignment="1">
      <alignment horizontal="left" wrapText="1"/>
    </xf>
    <xf numFmtId="0" fontId="51" fillId="33" borderId="0" xfId="0" applyFont="1" applyFill="1" applyAlignment="1">
      <alignment horizontal="center" wrapText="1"/>
    </xf>
    <xf numFmtId="0" fontId="51" fillId="33" borderId="36" xfId="0" applyFont="1" applyFill="1" applyBorder="1" applyAlignment="1">
      <alignment horizontal="center" wrapText="1"/>
    </xf>
    <xf numFmtId="0" fontId="51" fillId="33" borderId="0" xfId="0" applyFont="1" applyFill="1" applyAlignment="1">
      <alignment horizontal="center"/>
    </xf>
    <xf numFmtId="0" fontId="51" fillId="33" borderId="36" xfId="0" applyFont="1" applyFill="1" applyBorder="1" applyAlignment="1">
      <alignment horizontal="center"/>
    </xf>
    <xf numFmtId="0" fontId="51" fillId="29" borderId="0" xfId="0" quotePrefix="1" applyFont="1" applyFill="1" applyAlignment="1">
      <alignment horizontal="left"/>
    </xf>
    <xf numFmtId="0" fontId="51" fillId="29" borderId="0" xfId="0" applyFont="1" applyFill="1" applyAlignment="1">
      <alignment horizontal="left"/>
    </xf>
    <xf numFmtId="0" fontId="48" fillId="29" borderId="40" xfId="0" applyFont="1" applyFill="1" applyBorder="1" applyAlignment="1">
      <alignment horizontal="center"/>
    </xf>
    <xf numFmtId="0" fontId="48" fillId="29" borderId="33" xfId="0" applyFont="1" applyFill="1" applyBorder="1" applyAlignment="1">
      <alignment horizontal="center"/>
    </xf>
    <xf numFmtId="0" fontId="48" fillId="29" borderId="53" xfId="0" applyFont="1" applyFill="1" applyBorder="1" applyAlignment="1">
      <alignment horizontal="center"/>
    </xf>
    <xf numFmtId="0" fontId="49" fillId="29" borderId="42" xfId="0" applyFont="1" applyFill="1" applyBorder="1" applyAlignment="1">
      <alignment horizontal="center" vertical="center"/>
    </xf>
    <xf numFmtId="0" fontId="49" fillId="29" borderId="36" xfId="0" applyFont="1" applyFill="1" applyBorder="1" applyAlignment="1">
      <alignment horizontal="center" vertical="center"/>
    </xf>
    <xf numFmtId="0" fontId="49" fillId="29" borderId="34" xfId="0" applyFont="1" applyFill="1" applyBorder="1" applyAlignment="1">
      <alignment horizontal="center" wrapText="1"/>
    </xf>
    <xf numFmtId="0" fontId="49" fillId="29" borderId="29" xfId="0" applyFont="1" applyFill="1" applyBorder="1" applyAlignment="1">
      <alignment horizontal="center" wrapText="1"/>
    </xf>
    <xf numFmtId="0" fontId="49" fillId="33" borderId="42" xfId="0" applyFont="1" applyFill="1" applyBorder="1" applyAlignment="1">
      <alignment horizontal="center" wrapText="1"/>
    </xf>
    <xf numFmtId="0" fontId="49" fillId="33" borderId="36" xfId="0" applyFont="1" applyFill="1" applyBorder="1" applyAlignment="1">
      <alignment horizontal="center" wrapText="1"/>
    </xf>
    <xf numFmtId="0" fontId="49" fillId="32" borderId="41" xfId="0" applyFont="1" applyFill="1" applyBorder="1" applyAlignment="1">
      <alignment horizontal="center" wrapText="1"/>
    </xf>
    <xf numFmtId="0" fontId="49" fillId="32" borderId="32" xfId="0" applyFont="1" applyFill="1" applyBorder="1" applyAlignment="1">
      <alignment horizontal="center" wrapText="1"/>
    </xf>
    <xf numFmtId="0" fontId="48" fillId="29" borderId="53" xfId="0" applyFont="1" applyFill="1" applyBorder="1" applyAlignment="1">
      <alignment horizontal="left"/>
    </xf>
    <xf numFmtId="0" fontId="49" fillId="29" borderId="42" xfId="0" applyFont="1" applyFill="1" applyBorder="1" applyAlignment="1">
      <alignment horizontal="center"/>
    </xf>
    <xf numFmtId="0" fontId="49" fillId="29" borderId="0" xfId="0" applyFont="1" applyFill="1" applyAlignment="1">
      <alignment horizontal="center"/>
    </xf>
    <xf numFmtId="0" fontId="52" fillId="29" borderId="42" xfId="0" applyFont="1" applyFill="1" applyBorder="1" applyAlignment="1">
      <alignment horizontal="center" wrapText="1"/>
    </xf>
    <xf numFmtId="0" fontId="52" fillId="29" borderId="36" xfId="0" applyFont="1" applyFill="1" applyBorder="1" applyAlignment="1">
      <alignment horizontal="center" wrapText="1"/>
    </xf>
    <xf numFmtId="0" fontId="47" fillId="29" borderId="42" xfId="0" applyFont="1" applyFill="1" applyBorder="1" applyAlignment="1">
      <alignment horizontal="center" wrapText="1"/>
    </xf>
    <xf numFmtId="0" fontId="47" fillId="29" borderId="36" xfId="0" applyFont="1" applyFill="1" applyBorder="1" applyAlignment="1">
      <alignment horizontal="center" wrapText="1"/>
    </xf>
    <xf numFmtId="0" fontId="57" fillId="29" borderId="0" xfId="0" applyFont="1" applyFill="1" applyAlignment="1" applyProtection="1">
      <alignment horizontal="left" wrapText="1"/>
      <protection locked="0"/>
    </xf>
    <xf numFmtId="0" fontId="49" fillId="29" borderId="36" xfId="0" applyFont="1" applyFill="1" applyBorder="1" applyAlignment="1">
      <alignment horizontal="left" wrapText="1"/>
    </xf>
    <xf numFmtId="0" fontId="49" fillId="29" borderId="36" xfId="0" applyFont="1" applyFill="1" applyBorder="1" applyAlignment="1">
      <alignment horizontal="center"/>
    </xf>
    <xf numFmtId="0" fontId="52" fillId="29" borderId="34" xfId="0" applyFont="1" applyFill="1" applyBorder="1" applyAlignment="1">
      <alignment horizontal="center" wrapText="1"/>
    </xf>
    <xf numFmtId="0" fontId="52" fillId="29" borderId="29" xfId="0" applyFont="1" applyFill="1" applyBorder="1" applyAlignment="1">
      <alignment horizontal="center" wrapText="1"/>
    </xf>
    <xf numFmtId="0" fontId="49" fillId="29" borderId="0" xfId="0" applyFont="1" applyFill="1" applyAlignment="1">
      <alignment horizontal="center" wrapText="1"/>
    </xf>
    <xf numFmtId="0" fontId="51" fillId="29" borderId="0" xfId="33022" applyFont="1" applyFill="1" applyAlignment="1">
      <alignment horizontal="center" wrapText="1"/>
    </xf>
    <xf numFmtId="0" fontId="51" fillId="29" borderId="36" xfId="33022" applyFont="1" applyFill="1" applyBorder="1" applyAlignment="1">
      <alignment horizontal="center" wrapText="1"/>
    </xf>
    <xf numFmtId="43" fontId="51" fillId="29" borderId="0" xfId="4" applyFont="1" applyFill="1" applyBorder="1" applyAlignment="1" applyProtection="1">
      <alignment horizontal="center" wrapText="1"/>
    </xf>
    <xf numFmtId="43" fontId="51" fillId="29" borderId="36" xfId="4" applyFont="1" applyFill="1" applyBorder="1" applyAlignment="1" applyProtection="1">
      <alignment horizontal="center" wrapText="1"/>
    </xf>
    <xf numFmtId="0" fontId="51" fillId="29" borderId="0" xfId="33022" applyFont="1" applyFill="1" applyAlignment="1">
      <alignment horizontal="center" vertical="center" wrapText="1"/>
    </xf>
    <xf numFmtId="0" fontId="51" fillId="29" borderId="36" xfId="33022" applyFont="1" applyFill="1" applyBorder="1" applyAlignment="1">
      <alignment horizontal="center" vertical="center" wrapText="1"/>
    </xf>
    <xf numFmtId="43" fontId="51" fillId="29" borderId="0" xfId="4" applyFont="1" applyFill="1" applyBorder="1" applyAlignment="1" applyProtection="1">
      <alignment horizontal="left" wrapText="1"/>
    </xf>
    <xf numFmtId="43" fontId="51" fillId="29" borderId="36" xfId="4" applyFont="1" applyFill="1" applyBorder="1" applyAlignment="1" applyProtection="1">
      <alignment horizontal="left" wrapText="1"/>
    </xf>
    <xf numFmtId="43" fontId="51" fillId="29" borderId="0" xfId="4" applyFont="1" applyFill="1" applyBorder="1" applyAlignment="1" applyProtection="1">
      <alignment horizontal="center"/>
    </xf>
    <xf numFmtId="43" fontId="51" fillId="29" borderId="36" xfId="4" applyFont="1" applyFill="1" applyBorder="1" applyAlignment="1" applyProtection="1">
      <alignment horizontal="center"/>
    </xf>
    <xf numFmtId="0" fontId="51" fillId="29" borderId="0" xfId="33022" applyFont="1" applyFill="1" applyAlignment="1">
      <alignment horizontal="center"/>
    </xf>
    <xf numFmtId="0" fontId="51" fillId="29" borderId="36" xfId="33022" applyFont="1" applyFill="1" applyBorder="1" applyAlignment="1">
      <alignment horizontal="center"/>
    </xf>
    <xf numFmtId="43" fontId="49" fillId="29" borderId="0" xfId="4" applyFont="1" applyFill="1" applyBorder="1" applyAlignment="1" applyProtection="1">
      <alignment horizontal="center" wrapText="1"/>
    </xf>
    <xf numFmtId="43" fontId="49" fillId="29" borderId="36" xfId="4" applyFont="1" applyFill="1" applyBorder="1" applyAlignment="1" applyProtection="1">
      <alignment horizontal="center" wrapText="1"/>
    </xf>
    <xf numFmtId="43" fontId="51" fillId="29" borderId="42" xfId="4" applyFont="1" applyFill="1" applyBorder="1" applyAlignment="1" applyProtection="1">
      <alignment horizontal="center" wrapText="1"/>
    </xf>
    <xf numFmtId="43" fontId="49" fillId="29" borderId="42" xfId="4" applyFont="1" applyFill="1" applyBorder="1" applyAlignment="1" applyProtection="1">
      <alignment horizontal="center" wrapText="1"/>
    </xf>
    <xf numFmtId="0" fontId="51" fillId="29" borderId="42" xfId="33022" applyFont="1" applyFill="1" applyBorder="1" applyAlignment="1">
      <alignment horizontal="center" vertical="center" wrapText="1"/>
    </xf>
    <xf numFmtId="0" fontId="51" fillId="29" borderId="42" xfId="33022" applyFont="1" applyFill="1" applyBorder="1" applyAlignment="1">
      <alignment horizontal="center" wrapText="1"/>
    </xf>
    <xf numFmtId="43" fontId="52" fillId="0" borderId="42" xfId="4" applyFont="1" applyFill="1" applyBorder="1" applyAlignment="1" applyProtection="1">
      <alignment horizontal="center" wrapText="1"/>
    </xf>
    <xf numFmtId="43" fontId="52" fillId="0" borderId="36" xfId="4" applyFont="1" applyFill="1" applyBorder="1" applyAlignment="1" applyProtection="1">
      <alignment horizontal="center" wrapText="1"/>
    </xf>
    <xf numFmtId="43" fontId="47" fillId="0" borderId="42" xfId="4" applyFont="1" applyFill="1" applyBorder="1" applyAlignment="1" applyProtection="1">
      <alignment horizontal="center" wrapText="1"/>
    </xf>
    <xf numFmtId="43" fontId="47" fillId="0" borderId="36" xfId="4" applyFont="1" applyFill="1" applyBorder="1" applyAlignment="1" applyProtection="1">
      <alignment horizontal="center" wrapText="1"/>
    </xf>
    <xf numFmtId="0" fontId="52" fillId="0" borderId="42" xfId="33022" applyFont="1" applyBorder="1" applyAlignment="1">
      <alignment horizontal="center" vertical="center" wrapText="1"/>
    </xf>
    <xf numFmtId="0" fontId="52" fillId="0" borderId="36" xfId="33022" applyFont="1" applyBorder="1" applyAlignment="1">
      <alignment horizontal="center" vertical="center" wrapText="1"/>
    </xf>
    <xf numFmtId="0" fontId="52" fillId="0" borderId="42" xfId="33022" applyFont="1" applyBorder="1" applyAlignment="1">
      <alignment horizontal="center" wrapText="1"/>
    </xf>
    <xf numFmtId="0" fontId="52" fillId="0" borderId="36" xfId="33022" applyFont="1" applyBorder="1" applyAlignment="1">
      <alignment horizontal="center" wrapText="1"/>
    </xf>
    <xf numFmtId="0" fontId="48" fillId="0" borderId="40" xfId="0" applyFont="1" applyBorder="1" applyAlignment="1">
      <alignment horizontal="left"/>
    </xf>
    <xf numFmtId="0" fontId="52" fillId="0" borderId="42" xfId="0" applyFont="1" applyBorder="1" applyAlignment="1">
      <alignment horizontal="center" wrapText="1"/>
    </xf>
    <xf numFmtId="0" fontId="52" fillId="0" borderId="36" xfId="0" applyFont="1" applyBorder="1" applyAlignment="1">
      <alignment horizontal="center" wrapText="1"/>
    </xf>
    <xf numFmtId="0" fontId="52" fillId="0" borderId="0" xfId="0" quotePrefix="1" applyFont="1" applyAlignment="1" applyProtection="1">
      <alignment horizontal="center"/>
      <protection locked="0"/>
    </xf>
    <xf numFmtId="0" fontId="52" fillId="0" borderId="36" xfId="0" quotePrefix="1" applyFont="1" applyBorder="1" applyAlignment="1" applyProtection="1">
      <alignment horizontal="center"/>
      <protection locked="0"/>
    </xf>
    <xf numFmtId="0" fontId="52" fillId="0" borderId="0" xfId="0" applyFont="1" applyAlignment="1">
      <alignment horizontal="center" wrapText="1"/>
    </xf>
    <xf numFmtId="0" fontId="47" fillId="0" borderId="42" xfId="0" applyFont="1" applyBorder="1" applyAlignment="1" applyProtection="1">
      <alignment horizontal="center"/>
      <protection locked="0"/>
    </xf>
    <xf numFmtId="0" fontId="47" fillId="0" borderId="36" xfId="0" applyFont="1" applyBorder="1" applyAlignment="1" applyProtection="1">
      <alignment horizontal="center"/>
      <protection locked="0"/>
    </xf>
    <xf numFmtId="0" fontId="47" fillId="0" borderId="42" xfId="0" applyFont="1" applyBorder="1" applyAlignment="1">
      <alignment horizontal="center"/>
    </xf>
    <xf numFmtId="0" fontId="47" fillId="0" borderId="36" xfId="0" applyFont="1" applyBorder="1" applyAlignment="1">
      <alignment horizontal="center"/>
    </xf>
    <xf numFmtId="0" fontId="74" fillId="0" borderId="40" xfId="0" applyFont="1" applyBorder="1" applyAlignment="1">
      <alignment horizontal="left"/>
    </xf>
    <xf numFmtId="0" fontId="49" fillId="29" borderId="40" xfId="0" quotePrefix="1" applyFont="1" applyFill="1" applyBorder="1" applyAlignment="1" applyProtection="1">
      <alignment horizontal="left"/>
      <protection locked="0"/>
    </xf>
    <xf numFmtId="0" fontId="49" fillId="29" borderId="36" xfId="0" quotePrefix="1" applyFont="1" applyFill="1" applyBorder="1" applyAlignment="1" applyProtection="1">
      <alignment horizontal="left"/>
      <protection locked="0"/>
    </xf>
    <xf numFmtId="0" fontId="0" fillId="0" borderId="0" xfId="0" applyAlignment="1">
      <alignment horizontal="center"/>
    </xf>
    <xf numFmtId="0" fontId="56" fillId="31" borderId="36" xfId="0" applyFont="1" applyFill="1" applyBorder="1" applyAlignment="1" applyProtection="1">
      <alignment horizontal="left"/>
      <protection locked="0"/>
    </xf>
    <xf numFmtId="0" fontId="0" fillId="0" borderId="35" xfId="0" applyBorder="1" applyAlignment="1">
      <alignment horizontal="center"/>
    </xf>
    <xf numFmtId="0" fontId="49" fillId="29" borderId="0" xfId="0" applyFont="1" applyFill="1" applyAlignment="1">
      <alignment horizontal="left"/>
    </xf>
    <xf numFmtId="0" fontId="49" fillId="29" borderId="40" xfId="0" applyFont="1" applyFill="1" applyBorder="1" applyAlignment="1">
      <alignment horizontal="center" vertical="center" wrapText="1"/>
    </xf>
    <xf numFmtId="0" fontId="0" fillId="0" borderId="34" xfId="0" applyBorder="1" applyAlignment="1">
      <alignment horizontal="center"/>
    </xf>
    <xf numFmtId="0" fontId="0" fillId="0" borderId="41" xfId="0" applyBorder="1" applyAlignment="1">
      <alignment horizontal="center"/>
    </xf>
    <xf numFmtId="0" fontId="49" fillId="29" borderId="36" xfId="0" applyFont="1" applyFill="1" applyBorder="1" applyAlignment="1">
      <alignment horizontal="left"/>
    </xf>
    <xf numFmtId="0" fontId="0" fillId="0" borderId="40" xfId="0" applyBorder="1" applyAlignment="1">
      <alignment horizontal="center"/>
    </xf>
    <xf numFmtId="0" fontId="42" fillId="0" borderId="36" xfId="0" applyFont="1" applyBorder="1" applyAlignment="1">
      <alignment horizontal="left"/>
    </xf>
    <xf numFmtId="0" fontId="0" fillId="0" borderId="39" xfId="0" applyBorder="1" applyAlignment="1">
      <alignment horizontal="center"/>
    </xf>
    <xf numFmtId="0" fontId="0" fillId="0" borderId="43" xfId="0" applyBorder="1" applyAlignment="1">
      <alignment horizontal="center"/>
    </xf>
    <xf numFmtId="0" fontId="0" fillId="0" borderId="2" xfId="0" applyBorder="1" applyAlignment="1">
      <alignment horizontal="center"/>
    </xf>
    <xf numFmtId="0" fontId="44" fillId="0" borderId="41" xfId="0" applyFont="1" applyBorder="1" applyAlignment="1">
      <alignment horizontal="center" wrapText="1"/>
    </xf>
    <xf numFmtId="0" fontId="44" fillId="0" borderId="32" xfId="0" applyFont="1" applyBorder="1" applyAlignment="1">
      <alignment horizontal="center" wrapText="1"/>
    </xf>
    <xf numFmtId="0" fontId="0" fillId="0" borderId="42" xfId="0" applyBorder="1" applyAlignment="1">
      <alignment horizontal="center" wrapText="1"/>
    </xf>
    <xf numFmtId="0" fontId="0" fillId="0" borderId="0" xfId="0" applyAlignment="1">
      <alignment horizontal="center" wrapText="1"/>
    </xf>
    <xf numFmtId="0" fontId="0" fillId="0" borderId="36" xfId="0" applyBorder="1" applyAlignment="1">
      <alignment horizontal="center" wrapText="1"/>
    </xf>
    <xf numFmtId="0" fontId="44" fillId="0" borderId="42" xfId="0" applyFont="1" applyBorder="1" applyAlignment="1">
      <alignment horizontal="center" wrapText="1"/>
    </xf>
    <xf numFmtId="0" fontId="44" fillId="0" borderId="36" xfId="0" applyFont="1" applyBorder="1" applyAlignment="1">
      <alignment horizontal="center" wrapText="1"/>
    </xf>
    <xf numFmtId="0" fontId="0" fillId="0" borderId="41" xfId="0" applyBorder="1" applyAlignment="1">
      <alignment horizontal="center" wrapText="1"/>
    </xf>
    <xf numFmtId="0" fontId="0" fillId="0" borderId="32" xfId="0" applyBorder="1" applyAlignment="1">
      <alignment horizontal="center" wrapText="1"/>
    </xf>
  </cellXfs>
  <cellStyles count="33025">
    <cellStyle name="20% - Accent1 10" xfId="9" xr:uid="{00000000-0005-0000-0000-000000000000}"/>
    <cellStyle name="20% - Accent1 2" xfId="10" xr:uid="{00000000-0005-0000-0000-000001000000}"/>
    <cellStyle name="20% - Accent1 2 10" xfId="11" xr:uid="{00000000-0005-0000-0000-000002000000}"/>
    <cellStyle name="20% - Accent1 2 2" xfId="12" xr:uid="{00000000-0005-0000-0000-000003000000}"/>
    <cellStyle name="20% - Accent1 2 2 2" xfId="13" xr:uid="{00000000-0005-0000-0000-000004000000}"/>
    <cellStyle name="20% - Accent1 2 2 2 2" xfId="14" xr:uid="{00000000-0005-0000-0000-000005000000}"/>
    <cellStyle name="20% - Accent1 2 2 3" xfId="15" xr:uid="{00000000-0005-0000-0000-000006000000}"/>
    <cellStyle name="20% - Accent1 2 3" xfId="16" xr:uid="{00000000-0005-0000-0000-000007000000}"/>
    <cellStyle name="20% - Accent1 2 3 2" xfId="17" xr:uid="{00000000-0005-0000-0000-000008000000}"/>
    <cellStyle name="20% - Accent1 2 3 2 2" xfId="18" xr:uid="{00000000-0005-0000-0000-000009000000}"/>
    <cellStyle name="20% - Accent1 2 3 3" xfId="19" xr:uid="{00000000-0005-0000-0000-00000A000000}"/>
    <cellStyle name="20% - Accent1 2 4" xfId="20" xr:uid="{00000000-0005-0000-0000-00000B000000}"/>
    <cellStyle name="20% - Accent1 2 4 2" xfId="21" xr:uid="{00000000-0005-0000-0000-00000C000000}"/>
    <cellStyle name="20% - Accent1 2 4 2 2" xfId="22" xr:uid="{00000000-0005-0000-0000-00000D000000}"/>
    <cellStyle name="20% - Accent1 2 4 3" xfId="23" xr:uid="{00000000-0005-0000-0000-00000E000000}"/>
    <cellStyle name="20% - Accent1 2 5" xfId="24" xr:uid="{00000000-0005-0000-0000-00000F000000}"/>
    <cellStyle name="20% - Accent1 2 5 2" xfId="25" xr:uid="{00000000-0005-0000-0000-000010000000}"/>
    <cellStyle name="20% - Accent1 2 5 2 2" xfId="26" xr:uid="{00000000-0005-0000-0000-000011000000}"/>
    <cellStyle name="20% - Accent1 2 5 3" xfId="27" xr:uid="{00000000-0005-0000-0000-000012000000}"/>
    <cellStyle name="20% - Accent1 2 6" xfId="28" xr:uid="{00000000-0005-0000-0000-000013000000}"/>
    <cellStyle name="20% - Accent1 2 6 2" xfId="29" xr:uid="{00000000-0005-0000-0000-000014000000}"/>
    <cellStyle name="20% - Accent1 2 6 2 2" xfId="30" xr:uid="{00000000-0005-0000-0000-000015000000}"/>
    <cellStyle name="20% - Accent1 2 6 3" xfId="31" xr:uid="{00000000-0005-0000-0000-000016000000}"/>
    <cellStyle name="20% - Accent1 2 7" xfId="32" xr:uid="{00000000-0005-0000-0000-000017000000}"/>
    <cellStyle name="20% - Accent1 2 7 2" xfId="33" xr:uid="{00000000-0005-0000-0000-000018000000}"/>
    <cellStyle name="20% - Accent1 2 7 2 2" xfId="34" xr:uid="{00000000-0005-0000-0000-000019000000}"/>
    <cellStyle name="20% - Accent1 2 7 3" xfId="35" xr:uid="{00000000-0005-0000-0000-00001A000000}"/>
    <cellStyle name="20% - Accent1 2 8" xfId="36" xr:uid="{00000000-0005-0000-0000-00001B000000}"/>
    <cellStyle name="20% - Accent1 2 8 2" xfId="37" xr:uid="{00000000-0005-0000-0000-00001C000000}"/>
    <cellStyle name="20% - Accent1 2 8 2 2" xfId="38" xr:uid="{00000000-0005-0000-0000-00001D000000}"/>
    <cellStyle name="20% - Accent1 2 8 3" xfId="39" xr:uid="{00000000-0005-0000-0000-00001E000000}"/>
    <cellStyle name="20% - Accent1 2 9" xfId="40" xr:uid="{00000000-0005-0000-0000-00001F000000}"/>
    <cellStyle name="20% - Accent1 2 9 2" xfId="41" xr:uid="{00000000-0005-0000-0000-000020000000}"/>
    <cellStyle name="20% - Accent1 3" xfId="42" xr:uid="{00000000-0005-0000-0000-000021000000}"/>
    <cellStyle name="20% - Accent1 3 2" xfId="43" xr:uid="{00000000-0005-0000-0000-000022000000}"/>
    <cellStyle name="20% - Accent1 3 2 2" xfId="44" xr:uid="{00000000-0005-0000-0000-000023000000}"/>
    <cellStyle name="20% - Accent1 3 3" xfId="45" xr:uid="{00000000-0005-0000-0000-000024000000}"/>
    <cellStyle name="20% - Accent1 4" xfId="46" xr:uid="{00000000-0005-0000-0000-000025000000}"/>
    <cellStyle name="20% - Accent1 4 2" xfId="47" xr:uid="{00000000-0005-0000-0000-000026000000}"/>
    <cellStyle name="20% - Accent1 4 2 2" xfId="48" xr:uid="{00000000-0005-0000-0000-000027000000}"/>
    <cellStyle name="20% - Accent1 4 3" xfId="49" xr:uid="{00000000-0005-0000-0000-000028000000}"/>
    <cellStyle name="20% - Accent1 5" xfId="50" xr:uid="{00000000-0005-0000-0000-000029000000}"/>
    <cellStyle name="20% - Accent1 5 2" xfId="51" xr:uid="{00000000-0005-0000-0000-00002A000000}"/>
    <cellStyle name="20% - Accent1 5 2 2" xfId="52" xr:uid="{00000000-0005-0000-0000-00002B000000}"/>
    <cellStyle name="20% - Accent1 5 3" xfId="53" xr:uid="{00000000-0005-0000-0000-00002C000000}"/>
    <cellStyle name="20% - Accent1 6" xfId="54" xr:uid="{00000000-0005-0000-0000-00002D000000}"/>
    <cellStyle name="20% - Accent1 6 2" xfId="55" xr:uid="{00000000-0005-0000-0000-00002E000000}"/>
    <cellStyle name="20% - Accent1 6 2 2" xfId="56" xr:uid="{00000000-0005-0000-0000-00002F000000}"/>
    <cellStyle name="20% - Accent1 6 3" xfId="57" xr:uid="{00000000-0005-0000-0000-000030000000}"/>
    <cellStyle name="20% - Accent1 7" xfId="58" xr:uid="{00000000-0005-0000-0000-000031000000}"/>
    <cellStyle name="20% - Accent1 7 2" xfId="59" xr:uid="{00000000-0005-0000-0000-000032000000}"/>
    <cellStyle name="20% - Accent1 7 2 2" xfId="60" xr:uid="{00000000-0005-0000-0000-000033000000}"/>
    <cellStyle name="20% - Accent1 7 3" xfId="61" xr:uid="{00000000-0005-0000-0000-000034000000}"/>
    <cellStyle name="20% - Accent1 8" xfId="62" xr:uid="{00000000-0005-0000-0000-000035000000}"/>
    <cellStyle name="20% - Accent1 8 2" xfId="63" xr:uid="{00000000-0005-0000-0000-000036000000}"/>
    <cellStyle name="20% - Accent1 8 2 2" xfId="64" xr:uid="{00000000-0005-0000-0000-000037000000}"/>
    <cellStyle name="20% - Accent1 8 3" xfId="65" xr:uid="{00000000-0005-0000-0000-000038000000}"/>
    <cellStyle name="20% - Accent1 9" xfId="66" xr:uid="{00000000-0005-0000-0000-000039000000}"/>
    <cellStyle name="20% - Accent2 10" xfId="67" xr:uid="{00000000-0005-0000-0000-00003A000000}"/>
    <cellStyle name="20% - Accent2 2" xfId="68" xr:uid="{00000000-0005-0000-0000-00003B000000}"/>
    <cellStyle name="20% - Accent2 2 10" xfId="69" xr:uid="{00000000-0005-0000-0000-00003C000000}"/>
    <cellStyle name="20% - Accent2 2 2" xfId="70" xr:uid="{00000000-0005-0000-0000-00003D000000}"/>
    <cellStyle name="20% - Accent2 2 2 2" xfId="71" xr:uid="{00000000-0005-0000-0000-00003E000000}"/>
    <cellStyle name="20% - Accent2 2 2 2 2" xfId="72" xr:uid="{00000000-0005-0000-0000-00003F000000}"/>
    <cellStyle name="20% - Accent2 2 2 3" xfId="73" xr:uid="{00000000-0005-0000-0000-000040000000}"/>
    <cellStyle name="20% - Accent2 2 3" xfId="74" xr:uid="{00000000-0005-0000-0000-000041000000}"/>
    <cellStyle name="20% - Accent2 2 3 2" xfId="75" xr:uid="{00000000-0005-0000-0000-000042000000}"/>
    <cellStyle name="20% - Accent2 2 3 2 2" xfId="76" xr:uid="{00000000-0005-0000-0000-000043000000}"/>
    <cellStyle name="20% - Accent2 2 3 3" xfId="77" xr:uid="{00000000-0005-0000-0000-000044000000}"/>
    <cellStyle name="20% - Accent2 2 4" xfId="78" xr:uid="{00000000-0005-0000-0000-000045000000}"/>
    <cellStyle name="20% - Accent2 2 4 2" xfId="79" xr:uid="{00000000-0005-0000-0000-000046000000}"/>
    <cellStyle name="20% - Accent2 2 4 2 2" xfId="80" xr:uid="{00000000-0005-0000-0000-000047000000}"/>
    <cellStyle name="20% - Accent2 2 4 3" xfId="81" xr:uid="{00000000-0005-0000-0000-000048000000}"/>
    <cellStyle name="20% - Accent2 2 5" xfId="82" xr:uid="{00000000-0005-0000-0000-000049000000}"/>
    <cellStyle name="20% - Accent2 2 5 2" xfId="83" xr:uid="{00000000-0005-0000-0000-00004A000000}"/>
    <cellStyle name="20% - Accent2 2 5 2 2" xfId="84" xr:uid="{00000000-0005-0000-0000-00004B000000}"/>
    <cellStyle name="20% - Accent2 2 5 3" xfId="85" xr:uid="{00000000-0005-0000-0000-00004C000000}"/>
    <cellStyle name="20% - Accent2 2 6" xfId="86" xr:uid="{00000000-0005-0000-0000-00004D000000}"/>
    <cellStyle name="20% - Accent2 2 6 2" xfId="87" xr:uid="{00000000-0005-0000-0000-00004E000000}"/>
    <cellStyle name="20% - Accent2 2 6 2 2" xfId="88" xr:uid="{00000000-0005-0000-0000-00004F000000}"/>
    <cellStyle name="20% - Accent2 2 6 3" xfId="89" xr:uid="{00000000-0005-0000-0000-000050000000}"/>
    <cellStyle name="20% - Accent2 2 7" xfId="90" xr:uid="{00000000-0005-0000-0000-000051000000}"/>
    <cellStyle name="20% - Accent2 2 7 2" xfId="91" xr:uid="{00000000-0005-0000-0000-000052000000}"/>
    <cellStyle name="20% - Accent2 2 7 2 2" xfId="92" xr:uid="{00000000-0005-0000-0000-000053000000}"/>
    <cellStyle name="20% - Accent2 2 7 3" xfId="93" xr:uid="{00000000-0005-0000-0000-000054000000}"/>
    <cellStyle name="20% - Accent2 2 8" xfId="94" xr:uid="{00000000-0005-0000-0000-000055000000}"/>
    <cellStyle name="20% - Accent2 2 8 2" xfId="95" xr:uid="{00000000-0005-0000-0000-000056000000}"/>
    <cellStyle name="20% - Accent2 2 8 2 2" xfId="96" xr:uid="{00000000-0005-0000-0000-000057000000}"/>
    <cellStyle name="20% - Accent2 2 8 3" xfId="97" xr:uid="{00000000-0005-0000-0000-000058000000}"/>
    <cellStyle name="20% - Accent2 2 9" xfId="98" xr:uid="{00000000-0005-0000-0000-000059000000}"/>
    <cellStyle name="20% - Accent2 2 9 2" xfId="99" xr:uid="{00000000-0005-0000-0000-00005A000000}"/>
    <cellStyle name="20% - Accent2 3" xfId="100" xr:uid="{00000000-0005-0000-0000-00005B000000}"/>
    <cellStyle name="20% - Accent2 3 2" xfId="101" xr:uid="{00000000-0005-0000-0000-00005C000000}"/>
    <cellStyle name="20% - Accent2 3 2 2" xfId="102" xr:uid="{00000000-0005-0000-0000-00005D000000}"/>
    <cellStyle name="20% - Accent2 3 3" xfId="103" xr:uid="{00000000-0005-0000-0000-00005E000000}"/>
    <cellStyle name="20% - Accent2 4" xfId="104" xr:uid="{00000000-0005-0000-0000-00005F000000}"/>
    <cellStyle name="20% - Accent2 4 2" xfId="105" xr:uid="{00000000-0005-0000-0000-000060000000}"/>
    <cellStyle name="20% - Accent2 4 2 2" xfId="106" xr:uid="{00000000-0005-0000-0000-000061000000}"/>
    <cellStyle name="20% - Accent2 4 3" xfId="107" xr:uid="{00000000-0005-0000-0000-000062000000}"/>
    <cellStyle name="20% - Accent2 5" xfId="108" xr:uid="{00000000-0005-0000-0000-000063000000}"/>
    <cellStyle name="20% - Accent2 5 2" xfId="109" xr:uid="{00000000-0005-0000-0000-000064000000}"/>
    <cellStyle name="20% - Accent2 5 2 2" xfId="110" xr:uid="{00000000-0005-0000-0000-000065000000}"/>
    <cellStyle name="20% - Accent2 5 3" xfId="111" xr:uid="{00000000-0005-0000-0000-000066000000}"/>
    <cellStyle name="20% - Accent2 6" xfId="112" xr:uid="{00000000-0005-0000-0000-000067000000}"/>
    <cellStyle name="20% - Accent2 6 2" xfId="113" xr:uid="{00000000-0005-0000-0000-000068000000}"/>
    <cellStyle name="20% - Accent2 6 2 2" xfId="114" xr:uid="{00000000-0005-0000-0000-000069000000}"/>
    <cellStyle name="20% - Accent2 6 3" xfId="115" xr:uid="{00000000-0005-0000-0000-00006A000000}"/>
    <cellStyle name="20% - Accent2 7" xfId="116" xr:uid="{00000000-0005-0000-0000-00006B000000}"/>
    <cellStyle name="20% - Accent2 7 2" xfId="117" xr:uid="{00000000-0005-0000-0000-00006C000000}"/>
    <cellStyle name="20% - Accent2 7 2 2" xfId="118" xr:uid="{00000000-0005-0000-0000-00006D000000}"/>
    <cellStyle name="20% - Accent2 7 3" xfId="119" xr:uid="{00000000-0005-0000-0000-00006E000000}"/>
    <cellStyle name="20% - Accent2 8" xfId="120" xr:uid="{00000000-0005-0000-0000-00006F000000}"/>
    <cellStyle name="20% - Accent2 8 2" xfId="121" xr:uid="{00000000-0005-0000-0000-000070000000}"/>
    <cellStyle name="20% - Accent2 8 2 2" xfId="122" xr:uid="{00000000-0005-0000-0000-000071000000}"/>
    <cellStyle name="20% - Accent2 8 3" xfId="123" xr:uid="{00000000-0005-0000-0000-000072000000}"/>
    <cellStyle name="20% - Accent2 9" xfId="124" xr:uid="{00000000-0005-0000-0000-000073000000}"/>
    <cellStyle name="20% - Accent3 10" xfId="125" xr:uid="{00000000-0005-0000-0000-000074000000}"/>
    <cellStyle name="20% - Accent3 2" xfId="126" xr:uid="{00000000-0005-0000-0000-000075000000}"/>
    <cellStyle name="20% - Accent3 2 10" xfId="127" xr:uid="{00000000-0005-0000-0000-000076000000}"/>
    <cellStyle name="20% - Accent3 2 2" xfId="128" xr:uid="{00000000-0005-0000-0000-000077000000}"/>
    <cellStyle name="20% - Accent3 2 2 2" xfId="129" xr:uid="{00000000-0005-0000-0000-000078000000}"/>
    <cellStyle name="20% - Accent3 2 2 2 2" xfId="130" xr:uid="{00000000-0005-0000-0000-000079000000}"/>
    <cellStyle name="20% - Accent3 2 2 3" xfId="131" xr:uid="{00000000-0005-0000-0000-00007A000000}"/>
    <cellStyle name="20% - Accent3 2 3" xfId="132" xr:uid="{00000000-0005-0000-0000-00007B000000}"/>
    <cellStyle name="20% - Accent3 2 3 2" xfId="133" xr:uid="{00000000-0005-0000-0000-00007C000000}"/>
    <cellStyle name="20% - Accent3 2 3 2 2" xfId="134" xr:uid="{00000000-0005-0000-0000-00007D000000}"/>
    <cellStyle name="20% - Accent3 2 3 3" xfId="135" xr:uid="{00000000-0005-0000-0000-00007E000000}"/>
    <cellStyle name="20% - Accent3 2 4" xfId="136" xr:uid="{00000000-0005-0000-0000-00007F000000}"/>
    <cellStyle name="20% - Accent3 2 4 2" xfId="137" xr:uid="{00000000-0005-0000-0000-000080000000}"/>
    <cellStyle name="20% - Accent3 2 4 2 2" xfId="138" xr:uid="{00000000-0005-0000-0000-000081000000}"/>
    <cellStyle name="20% - Accent3 2 4 3" xfId="139" xr:uid="{00000000-0005-0000-0000-000082000000}"/>
    <cellStyle name="20% - Accent3 2 5" xfId="140" xr:uid="{00000000-0005-0000-0000-000083000000}"/>
    <cellStyle name="20% - Accent3 2 5 2" xfId="141" xr:uid="{00000000-0005-0000-0000-000084000000}"/>
    <cellStyle name="20% - Accent3 2 5 2 2" xfId="142" xr:uid="{00000000-0005-0000-0000-000085000000}"/>
    <cellStyle name="20% - Accent3 2 5 3" xfId="143" xr:uid="{00000000-0005-0000-0000-000086000000}"/>
    <cellStyle name="20% - Accent3 2 6" xfId="144" xr:uid="{00000000-0005-0000-0000-000087000000}"/>
    <cellStyle name="20% - Accent3 2 6 2" xfId="145" xr:uid="{00000000-0005-0000-0000-000088000000}"/>
    <cellStyle name="20% - Accent3 2 6 2 2" xfId="146" xr:uid="{00000000-0005-0000-0000-000089000000}"/>
    <cellStyle name="20% - Accent3 2 6 3" xfId="147" xr:uid="{00000000-0005-0000-0000-00008A000000}"/>
    <cellStyle name="20% - Accent3 2 7" xfId="148" xr:uid="{00000000-0005-0000-0000-00008B000000}"/>
    <cellStyle name="20% - Accent3 2 7 2" xfId="149" xr:uid="{00000000-0005-0000-0000-00008C000000}"/>
    <cellStyle name="20% - Accent3 2 7 2 2" xfId="150" xr:uid="{00000000-0005-0000-0000-00008D000000}"/>
    <cellStyle name="20% - Accent3 2 7 3" xfId="151" xr:uid="{00000000-0005-0000-0000-00008E000000}"/>
    <cellStyle name="20% - Accent3 2 8" xfId="152" xr:uid="{00000000-0005-0000-0000-00008F000000}"/>
    <cellStyle name="20% - Accent3 2 8 2" xfId="153" xr:uid="{00000000-0005-0000-0000-000090000000}"/>
    <cellStyle name="20% - Accent3 2 8 2 2" xfId="154" xr:uid="{00000000-0005-0000-0000-000091000000}"/>
    <cellStyle name="20% - Accent3 2 8 3" xfId="155" xr:uid="{00000000-0005-0000-0000-000092000000}"/>
    <cellStyle name="20% - Accent3 2 9" xfId="156" xr:uid="{00000000-0005-0000-0000-000093000000}"/>
    <cellStyle name="20% - Accent3 2 9 2" xfId="157" xr:uid="{00000000-0005-0000-0000-000094000000}"/>
    <cellStyle name="20% - Accent3 3" xfId="158" xr:uid="{00000000-0005-0000-0000-000095000000}"/>
    <cellStyle name="20% - Accent3 3 2" xfId="159" xr:uid="{00000000-0005-0000-0000-000096000000}"/>
    <cellStyle name="20% - Accent3 3 2 2" xfId="160" xr:uid="{00000000-0005-0000-0000-000097000000}"/>
    <cellStyle name="20% - Accent3 3 3" xfId="161" xr:uid="{00000000-0005-0000-0000-000098000000}"/>
    <cellStyle name="20% - Accent3 4" xfId="162" xr:uid="{00000000-0005-0000-0000-000099000000}"/>
    <cellStyle name="20% - Accent3 4 2" xfId="163" xr:uid="{00000000-0005-0000-0000-00009A000000}"/>
    <cellStyle name="20% - Accent3 4 2 2" xfId="164" xr:uid="{00000000-0005-0000-0000-00009B000000}"/>
    <cellStyle name="20% - Accent3 4 3" xfId="165" xr:uid="{00000000-0005-0000-0000-00009C000000}"/>
    <cellStyle name="20% - Accent3 5" xfId="166" xr:uid="{00000000-0005-0000-0000-00009D000000}"/>
    <cellStyle name="20% - Accent3 5 2" xfId="167" xr:uid="{00000000-0005-0000-0000-00009E000000}"/>
    <cellStyle name="20% - Accent3 5 2 2" xfId="168" xr:uid="{00000000-0005-0000-0000-00009F000000}"/>
    <cellStyle name="20% - Accent3 5 3" xfId="169" xr:uid="{00000000-0005-0000-0000-0000A0000000}"/>
    <cellStyle name="20% - Accent3 6" xfId="170" xr:uid="{00000000-0005-0000-0000-0000A1000000}"/>
    <cellStyle name="20% - Accent3 6 2" xfId="171" xr:uid="{00000000-0005-0000-0000-0000A2000000}"/>
    <cellStyle name="20% - Accent3 6 2 2" xfId="172" xr:uid="{00000000-0005-0000-0000-0000A3000000}"/>
    <cellStyle name="20% - Accent3 6 3" xfId="173" xr:uid="{00000000-0005-0000-0000-0000A4000000}"/>
    <cellStyle name="20% - Accent3 7" xfId="174" xr:uid="{00000000-0005-0000-0000-0000A5000000}"/>
    <cellStyle name="20% - Accent3 7 2" xfId="175" xr:uid="{00000000-0005-0000-0000-0000A6000000}"/>
    <cellStyle name="20% - Accent3 7 2 2" xfId="176" xr:uid="{00000000-0005-0000-0000-0000A7000000}"/>
    <cellStyle name="20% - Accent3 7 3" xfId="177" xr:uid="{00000000-0005-0000-0000-0000A8000000}"/>
    <cellStyle name="20% - Accent3 8" xfId="178" xr:uid="{00000000-0005-0000-0000-0000A9000000}"/>
    <cellStyle name="20% - Accent3 8 2" xfId="179" xr:uid="{00000000-0005-0000-0000-0000AA000000}"/>
    <cellStyle name="20% - Accent3 8 2 2" xfId="180" xr:uid="{00000000-0005-0000-0000-0000AB000000}"/>
    <cellStyle name="20% - Accent3 8 3" xfId="181" xr:uid="{00000000-0005-0000-0000-0000AC000000}"/>
    <cellStyle name="20% - Accent3 9" xfId="182" xr:uid="{00000000-0005-0000-0000-0000AD000000}"/>
    <cellStyle name="20% - Accent4 10" xfId="183" xr:uid="{00000000-0005-0000-0000-0000AE000000}"/>
    <cellStyle name="20% - Accent4 2" xfId="184" xr:uid="{00000000-0005-0000-0000-0000AF000000}"/>
    <cellStyle name="20% - Accent4 2 10" xfId="185" xr:uid="{00000000-0005-0000-0000-0000B0000000}"/>
    <cellStyle name="20% - Accent4 2 2" xfId="186" xr:uid="{00000000-0005-0000-0000-0000B1000000}"/>
    <cellStyle name="20% - Accent4 2 2 2" xfId="187" xr:uid="{00000000-0005-0000-0000-0000B2000000}"/>
    <cellStyle name="20% - Accent4 2 2 2 2" xfId="188" xr:uid="{00000000-0005-0000-0000-0000B3000000}"/>
    <cellStyle name="20% - Accent4 2 2 3" xfId="189" xr:uid="{00000000-0005-0000-0000-0000B4000000}"/>
    <cellStyle name="20% - Accent4 2 3" xfId="190" xr:uid="{00000000-0005-0000-0000-0000B5000000}"/>
    <cellStyle name="20% - Accent4 2 3 2" xfId="191" xr:uid="{00000000-0005-0000-0000-0000B6000000}"/>
    <cellStyle name="20% - Accent4 2 3 2 2" xfId="192" xr:uid="{00000000-0005-0000-0000-0000B7000000}"/>
    <cellStyle name="20% - Accent4 2 3 3" xfId="193" xr:uid="{00000000-0005-0000-0000-0000B8000000}"/>
    <cellStyle name="20% - Accent4 2 4" xfId="194" xr:uid="{00000000-0005-0000-0000-0000B9000000}"/>
    <cellStyle name="20% - Accent4 2 4 2" xfId="195" xr:uid="{00000000-0005-0000-0000-0000BA000000}"/>
    <cellStyle name="20% - Accent4 2 4 2 2" xfId="196" xr:uid="{00000000-0005-0000-0000-0000BB000000}"/>
    <cellStyle name="20% - Accent4 2 4 3" xfId="197" xr:uid="{00000000-0005-0000-0000-0000BC000000}"/>
    <cellStyle name="20% - Accent4 2 5" xfId="198" xr:uid="{00000000-0005-0000-0000-0000BD000000}"/>
    <cellStyle name="20% - Accent4 2 5 2" xfId="199" xr:uid="{00000000-0005-0000-0000-0000BE000000}"/>
    <cellStyle name="20% - Accent4 2 5 2 2" xfId="200" xr:uid="{00000000-0005-0000-0000-0000BF000000}"/>
    <cellStyle name="20% - Accent4 2 5 3" xfId="201" xr:uid="{00000000-0005-0000-0000-0000C0000000}"/>
    <cellStyle name="20% - Accent4 2 6" xfId="202" xr:uid="{00000000-0005-0000-0000-0000C1000000}"/>
    <cellStyle name="20% - Accent4 2 6 2" xfId="203" xr:uid="{00000000-0005-0000-0000-0000C2000000}"/>
    <cellStyle name="20% - Accent4 2 6 2 2" xfId="204" xr:uid="{00000000-0005-0000-0000-0000C3000000}"/>
    <cellStyle name="20% - Accent4 2 6 3" xfId="205" xr:uid="{00000000-0005-0000-0000-0000C4000000}"/>
    <cellStyle name="20% - Accent4 2 7" xfId="206" xr:uid="{00000000-0005-0000-0000-0000C5000000}"/>
    <cellStyle name="20% - Accent4 2 7 2" xfId="207" xr:uid="{00000000-0005-0000-0000-0000C6000000}"/>
    <cellStyle name="20% - Accent4 2 7 2 2" xfId="208" xr:uid="{00000000-0005-0000-0000-0000C7000000}"/>
    <cellStyle name="20% - Accent4 2 7 3" xfId="209" xr:uid="{00000000-0005-0000-0000-0000C8000000}"/>
    <cellStyle name="20% - Accent4 2 8" xfId="210" xr:uid="{00000000-0005-0000-0000-0000C9000000}"/>
    <cellStyle name="20% - Accent4 2 8 2" xfId="211" xr:uid="{00000000-0005-0000-0000-0000CA000000}"/>
    <cellStyle name="20% - Accent4 2 8 2 2" xfId="212" xr:uid="{00000000-0005-0000-0000-0000CB000000}"/>
    <cellStyle name="20% - Accent4 2 8 3" xfId="213" xr:uid="{00000000-0005-0000-0000-0000CC000000}"/>
    <cellStyle name="20% - Accent4 2 9" xfId="214" xr:uid="{00000000-0005-0000-0000-0000CD000000}"/>
    <cellStyle name="20% - Accent4 2 9 2" xfId="215" xr:uid="{00000000-0005-0000-0000-0000CE000000}"/>
    <cellStyle name="20% - Accent4 3" xfId="216" xr:uid="{00000000-0005-0000-0000-0000CF000000}"/>
    <cellStyle name="20% - Accent4 3 2" xfId="217" xr:uid="{00000000-0005-0000-0000-0000D0000000}"/>
    <cellStyle name="20% - Accent4 3 2 2" xfId="218" xr:uid="{00000000-0005-0000-0000-0000D1000000}"/>
    <cellStyle name="20% - Accent4 3 3" xfId="219" xr:uid="{00000000-0005-0000-0000-0000D2000000}"/>
    <cellStyle name="20% - Accent4 4" xfId="220" xr:uid="{00000000-0005-0000-0000-0000D3000000}"/>
    <cellStyle name="20% - Accent4 4 2" xfId="221" xr:uid="{00000000-0005-0000-0000-0000D4000000}"/>
    <cellStyle name="20% - Accent4 4 2 2" xfId="222" xr:uid="{00000000-0005-0000-0000-0000D5000000}"/>
    <cellStyle name="20% - Accent4 4 3" xfId="223" xr:uid="{00000000-0005-0000-0000-0000D6000000}"/>
    <cellStyle name="20% - Accent4 5" xfId="224" xr:uid="{00000000-0005-0000-0000-0000D7000000}"/>
    <cellStyle name="20% - Accent4 5 2" xfId="225" xr:uid="{00000000-0005-0000-0000-0000D8000000}"/>
    <cellStyle name="20% - Accent4 5 2 2" xfId="226" xr:uid="{00000000-0005-0000-0000-0000D9000000}"/>
    <cellStyle name="20% - Accent4 5 3" xfId="227" xr:uid="{00000000-0005-0000-0000-0000DA000000}"/>
    <cellStyle name="20% - Accent4 6" xfId="228" xr:uid="{00000000-0005-0000-0000-0000DB000000}"/>
    <cellStyle name="20% - Accent4 6 2" xfId="229" xr:uid="{00000000-0005-0000-0000-0000DC000000}"/>
    <cellStyle name="20% - Accent4 6 2 2" xfId="230" xr:uid="{00000000-0005-0000-0000-0000DD000000}"/>
    <cellStyle name="20% - Accent4 6 3" xfId="231" xr:uid="{00000000-0005-0000-0000-0000DE000000}"/>
    <cellStyle name="20% - Accent4 7" xfId="232" xr:uid="{00000000-0005-0000-0000-0000DF000000}"/>
    <cellStyle name="20% - Accent4 7 2" xfId="233" xr:uid="{00000000-0005-0000-0000-0000E0000000}"/>
    <cellStyle name="20% - Accent4 7 2 2" xfId="234" xr:uid="{00000000-0005-0000-0000-0000E1000000}"/>
    <cellStyle name="20% - Accent4 7 3" xfId="235" xr:uid="{00000000-0005-0000-0000-0000E2000000}"/>
    <cellStyle name="20% - Accent4 8" xfId="236" xr:uid="{00000000-0005-0000-0000-0000E3000000}"/>
    <cellStyle name="20% - Accent4 8 2" xfId="237" xr:uid="{00000000-0005-0000-0000-0000E4000000}"/>
    <cellStyle name="20% - Accent4 8 2 2" xfId="238" xr:uid="{00000000-0005-0000-0000-0000E5000000}"/>
    <cellStyle name="20% - Accent4 8 3" xfId="239" xr:uid="{00000000-0005-0000-0000-0000E6000000}"/>
    <cellStyle name="20% - Accent4 9" xfId="240" xr:uid="{00000000-0005-0000-0000-0000E7000000}"/>
    <cellStyle name="20% - Accent5 10" xfId="241" xr:uid="{00000000-0005-0000-0000-0000E8000000}"/>
    <cellStyle name="20% - Accent5 2" xfId="242" xr:uid="{00000000-0005-0000-0000-0000E9000000}"/>
    <cellStyle name="20% - Accent5 2 10" xfId="243" xr:uid="{00000000-0005-0000-0000-0000EA000000}"/>
    <cellStyle name="20% - Accent5 2 2" xfId="244" xr:uid="{00000000-0005-0000-0000-0000EB000000}"/>
    <cellStyle name="20% - Accent5 2 2 2" xfId="245" xr:uid="{00000000-0005-0000-0000-0000EC000000}"/>
    <cellStyle name="20% - Accent5 2 2 2 2" xfId="246" xr:uid="{00000000-0005-0000-0000-0000ED000000}"/>
    <cellStyle name="20% - Accent5 2 2 3" xfId="247" xr:uid="{00000000-0005-0000-0000-0000EE000000}"/>
    <cellStyle name="20% - Accent5 2 3" xfId="248" xr:uid="{00000000-0005-0000-0000-0000EF000000}"/>
    <cellStyle name="20% - Accent5 2 3 2" xfId="249" xr:uid="{00000000-0005-0000-0000-0000F0000000}"/>
    <cellStyle name="20% - Accent5 2 3 2 2" xfId="250" xr:uid="{00000000-0005-0000-0000-0000F1000000}"/>
    <cellStyle name="20% - Accent5 2 3 3" xfId="251" xr:uid="{00000000-0005-0000-0000-0000F2000000}"/>
    <cellStyle name="20% - Accent5 2 4" xfId="252" xr:uid="{00000000-0005-0000-0000-0000F3000000}"/>
    <cellStyle name="20% - Accent5 2 4 2" xfId="253" xr:uid="{00000000-0005-0000-0000-0000F4000000}"/>
    <cellStyle name="20% - Accent5 2 4 2 2" xfId="254" xr:uid="{00000000-0005-0000-0000-0000F5000000}"/>
    <cellStyle name="20% - Accent5 2 4 3" xfId="255" xr:uid="{00000000-0005-0000-0000-0000F6000000}"/>
    <cellStyle name="20% - Accent5 2 5" xfId="256" xr:uid="{00000000-0005-0000-0000-0000F7000000}"/>
    <cellStyle name="20% - Accent5 2 5 2" xfId="257" xr:uid="{00000000-0005-0000-0000-0000F8000000}"/>
    <cellStyle name="20% - Accent5 2 5 2 2" xfId="258" xr:uid="{00000000-0005-0000-0000-0000F9000000}"/>
    <cellStyle name="20% - Accent5 2 5 3" xfId="259" xr:uid="{00000000-0005-0000-0000-0000FA000000}"/>
    <cellStyle name="20% - Accent5 2 6" xfId="260" xr:uid="{00000000-0005-0000-0000-0000FB000000}"/>
    <cellStyle name="20% - Accent5 2 6 2" xfId="261" xr:uid="{00000000-0005-0000-0000-0000FC000000}"/>
    <cellStyle name="20% - Accent5 2 6 2 2" xfId="262" xr:uid="{00000000-0005-0000-0000-0000FD000000}"/>
    <cellStyle name="20% - Accent5 2 6 3" xfId="263" xr:uid="{00000000-0005-0000-0000-0000FE000000}"/>
    <cellStyle name="20% - Accent5 2 7" xfId="264" xr:uid="{00000000-0005-0000-0000-0000FF000000}"/>
    <cellStyle name="20% - Accent5 2 7 2" xfId="265" xr:uid="{00000000-0005-0000-0000-000000010000}"/>
    <cellStyle name="20% - Accent5 2 7 2 2" xfId="266" xr:uid="{00000000-0005-0000-0000-000001010000}"/>
    <cellStyle name="20% - Accent5 2 7 3" xfId="267" xr:uid="{00000000-0005-0000-0000-000002010000}"/>
    <cellStyle name="20% - Accent5 2 8" xfId="268" xr:uid="{00000000-0005-0000-0000-000003010000}"/>
    <cellStyle name="20% - Accent5 2 8 2" xfId="269" xr:uid="{00000000-0005-0000-0000-000004010000}"/>
    <cellStyle name="20% - Accent5 2 8 2 2" xfId="270" xr:uid="{00000000-0005-0000-0000-000005010000}"/>
    <cellStyle name="20% - Accent5 2 8 3" xfId="271" xr:uid="{00000000-0005-0000-0000-000006010000}"/>
    <cellStyle name="20% - Accent5 2 9" xfId="272" xr:uid="{00000000-0005-0000-0000-000007010000}"/>
    <cellStyle name="20% - Accent5 2 9 2" xfId="273" xr:uid="{00000000-0005-0000-0000-000008010000}"/>
    <cellStyle name="20% - Accent5 3" xfId="274" xr:uid="{00000000-0005-0000-0000-000009010000}"/>
    <cellStyle name="20% - Accent5 3 2" xfId="275" xr:uid="{00000000-0005-0000-0000-00000A010000}"/>
    <cellStyle name="20% - Accent5 3 2 2" xfId="276" xr:uid="{00000000-0005-0000-0000-00000B010000}"/>
    <cellStyle name="20% - Accent5 3 3" xfId="277" xr:uid="{00000000-0005-0000-0000-00000C010000}"/>
    <cellStyle name="20% - Accent5 4" xfId="278" xr:uid="{00000000-0005-0000-0000-00000D010000}"/>
    <cellStyle name="20% - Accent5 4 2" xfId="279" xr:uid="{00000000-0005-0000-0000-00000E010000}"/>
    <cellStyle name="20% - Accent5 4 2 2" xfId="280" xr:uid="{00000000-0005-0000-0000-00000F010000}"/>
    <cellStyle name="20% - Accent5 4 3" xfId="281" xr:uid="{00000000-0005-0000-0000-000010010000}"/>
    <cellStyle name="20% - Accent5 5" xfId="282" xr:uid="{00000000-0005-0000-0000-000011010000}"/>
    <cellStyle name="20% - Accent5 5 2" xfId="283" xr:uid="{00000000-0005-0000-0000-000012010000}"/>
    <cellStyle name="20% - Accent5 5 2 2" xfId="284" xr:uid="{00000000-0005-0000-0000-000013010000}"/>
    <cellStyle name="20% - Accent5 5 3" xfId="285" xr:uid="{00000000-0005-0000-0000-000014010000}"/>
    <cellStyle name="20% - Accent5 6" xfId="286" xr:uid="{00000000-0005-0000-0000-000015010000}"/>
    <cellStyle name="20% - Accent5 6 2" xfId="287" xr:uid="{00000000-0005-0000-0000-000016010000}"/>
    <cellStyle name="20% - Accent5 6 2 2" xfId="288" xr:uid="{00000000-0005-0000-0000-000017010000}"/>
    <cellStyle name="20% - Accent5 6 3" xfId="289" xr:uid="{00000000-0005-0000-0000-000018010000}"/>
    <cellStyle name="20% - Accent5 7" xfId="290" xr:uid="{00000000-0005-0000-0000-000019010000}"/>
    <cellStyle name="20% - Accent5 7 2" xfId="291" xr:uid="{00000000-0005-0000-0000-00001A010000}"/>
    <cellStyle name="20% - Accent5 7 2 2" xfId="292" xr:uid="{00000000-0005-0000-0000-00001B010000}"/>
    <cellStyle name="20% - Accent5 7 3" xfId="293" xr:uid="{00000000-0005-0000-0000-00001C010000}"/>
    <cellStyle name="20% - Accent5 8" xfId="294" xr:uid="{00000000-0005-0000-0000-00001D010000}"/>
    <cellStyle name="20% - Accent5 8 2" xfId="295" xr:uid="{00000000-0005-0000-0000-00001E010000}"/>
    <cellStyle name="20% - Accent5 8 2 2" xfId="296" xr:uid="{00000000-0005-0000-0000-00001F010000}"/>
    <cellStyle name="20% - Accent5 8 3" xfId="297" xr:uid="{00000000-0005-0000-0000-000020010000}"/>
    <cellStyle name="20% - Accent5 9" xfId="298" xr:uid="{00000000-0005-0000-0000-000021010000}"/>
    <cellStyle name="20% - Accent6 10" xfId="299" xr:uid="{00000000-0005-0000-0000-000022010000}"/>
    <cellStyle name="20% - Accent6 2" xfId="300" xr:uid="{00000000-0005-0000-0000-000023010000}"/>
    <cellStyle name="20% - Accent6 2 10" xfId="301" xr:uid="{00000000-0005-0000-0000-000024010000}"/>
    <cellStyle name="20% - Accent6 2 2" xfId="302" xr:uid="{00000000-0005-0000-0000-000025010000}"/>
    <cellStyle name="20% - Accent6 2 2 2" xfId="303" xr:uid="{00000000-0005-0000-0000-000026010000}"/>
    <cellStyle name="20% - Accent6 2 2 2 2" xfId="304" xr:uid="{00000000-0005-0000-0000-000027010000}"/>
    <cellStyle name="20% - Accent6 2 2 3" xfId="305" xr:uid="{00000000-0005-0000-0000-000028010000}"/>
    <cellStyle name="20% - Accent6 2 3" xfId="306" xr:uid="{00000000-0005-0000-0000-000029010000}"/>
    <cellStyle name="20% - Accent6 2 3 2" xfId="307" xr:uid="{00000000-0005-0000-0000-00002A010000}"/>
    <cellStyle name="20% - Accent6 2 3 2 2" xfId="308" xr:uid="{00000000-0005-0000-0000-00002B010000}"/>
    <cellStyle name="20% - Accent6 2 3 3" xfId="309" xr:uid="{00000000-0005-0000-0000-00002C010000}"/>
    <cellStyle name="20% - Accent6 2 4" xfId="310" xr:uid="{00000000-0005-0000-0000-00002D010000}"/>
    <cellStyle name="20% - Accent6 2 4 2" xfId="311" xr:uid="{00000000-0005-0000-0000-00002E010000}"/>
    <cellStyle name="20% - Accent6 2 4 2 2" xfId="312" xr:uid="{00000000-0005-0000-0000-00002F010000}"/>
    <cellStyle name="20% - Accent6 2 4 3" xfId="313" xr:uid="{00000000-0005-0000-0000-000030010000}"/>
    <cellStyle name="20% - Accent6 2 5" xfId="314" xr:uid="{00000000-0005-0000-0000-000031010000}"/>
    <cellStyle name="20% - Accent6 2 5 2" xfId="315" xr:uid="{00000000-0005-0000-0000-000032010000}"/>
    <cellStyle name="20% - Accent6 2 5 2 2" xfId="316" xr:uid="{00000000-0005-0000-0000-000033010000}"/>
    <cellStyle name="20% - Accent6 2 5 3" xfId="317" xr:uid="{00000000-0005-0000-0000-000034010000}"/>
    <cellStyle name="20% - Accent6 2 6" xfId="318" xr:uid="{00000000-0005-0000-0000-000035010000}"/>
    <cellStyle name="20% - Accent6 2 6 2" xfId="319" xr:uid="{00000000-0005-0000-0000-000036010000}"/>
    <cellStyle name="20% - Accent6 2 6 2 2" xfId="320" xr:uid="{00000000-0005-0000-0000-000037010000}"/>
    <cellStyle name="20% - Accent6 2 6 3" xfId="321" xr:uid="{00000000-0005-0000-0000-000038010000}"/>
    <cellStyle name="20% - Accent6 2 7" xfId="322" xr:uid="{00000000-0005-0000-0000-000039010000}"/>
    <cellStyle name="20% - Accent6 2 7 2" xfId="323" xr:uid="{00000000-0005-0000-0000-00003A010000}"/>
    <cellStyle name="20% - Accent6 2 7 2 2" xfId="324" xr:uid="{00000000-0005-0000-0000-00003B010000}"/>
    <cellStyle name="20% - Accent6 2 7 3" xfId="325" xr:uid="{00000000-0005-0000-0000-00003C010000}"/>
    <cellStyle name="20% - Accent6 2 8" xfId="326" xr:uid="{00000000-0005-0000-0000-00003D010000}"/>
    <cellStyle name="20% - Accent6 2 8 2" xfId="327" xr:uid="{00000000-0005-0000-0000-00003E010000}"/>
    <cellStyle name="20% - Accent6 2 8 2 2" xfId="328" xr:uid="{00000000-0005-0000-0000-00003F010000}"/>
    <cellStyle name="20% - Accent6 2 8 3" xfId="329" xr:uid="{00000000-0005-0000-0000-000040010000}"/>
    <cellStyle name="20% - Accent6 2 9" xfId="330" xr:uid="{00000000-0005-0000-0000-000041010000}"/>
    <cellStyle name="20% - Accent6 2 9 2" xfId="331" xr:uid="{00000000-0005-0000-0000-000042010000}"/>
    <cellStyle name="20% - Accent6 3" xfId="332" xr:uid="{00000000-0005-0000-0000-000043010000}"/>
    <cellStyle name="20% - Accent6 3 2" xfId="333" xr:uid="{00000000-0005-0000-0000-000044010000}"/>
    <cellStyle name="20% - Accent6 3 2 2" xfId="334" xr:uid="{00000000-0005-0000-0000-000045010000}"/>
    <cellStyle name="20% - Accent6 3 3" xfId="335" xr:uid="{00000000-0005-0000-0000-000046010000}"/>
    <cellStyle name="20% - Accent6 4" xfId="336" xr:uid="{00000000-0005-0000-0000-000047010000}"/>
    <cellStyle name="20% - Accent6 4 2" xfId="337" xr:uid="{00000000-0005-0000-0000-000048010000}"/>
    <cellStyle name="20% - Accent6 4 2 2" xfId="338" xr:uid="{00000000-0005-0000-0000-000049010000}"/>
    <cellStyle name="20% - Accent6 4 3" xfId="339" xr:uid="{00000000-0005-0000-0000-00004A010000}"/>
    <cellStyle name="20% - Accent6 5" xfId="340" xr:uid="{00000000-0005-0000-0000-00004B010000}"/>
    <cellStyle name="20% - Accent6 5 2" xfId="341" xr:uid="{00000000-0005-0000-0000-00004C010000}"/>
    <cellStyle name="20% - Accent6 5 2 2" xfId="342" xr:uid="{00000000-0005-0000-0000-00004D010000}"/>
    <cellStyle name="20% - Accent6 5 3" xfId="343" xr:uid="{00000000-0005-0000-0000-00004E010000}"/>
    <cellStyle name="20% - Accent6 6" xfId="344" xr:uid="{00000000-0005-0000-0000-00004F010000}"/>
    <cellStyle name="20% - Accent6 6 2" xfId="345" xr:uid="{00000000-0005-0000-0000-000050010000}"/>
    <cellStyle name="20% - Accent6 6 2 2" xfId="346" xr:uid="{00000000-0005-0000-0000-000051010000}"/>
    <cellStyle name="20% - Accent6 6 3" xfId="347" xr:uid="{00000000-0005-0000-0000-000052010000}"/>
    <cellStyle name="20% - Accent6 7" xfId="348" xr:uid="{00000000-0005-0000-0000-000053010000}"/>
    <cellStyle name="20% - Accent6 7 2" xfId="349" xr:uid="{00000000-0005-0000-0000-000054010000}"/>
    <cellStyle name="20% - Accent6 7 2 2" xfId="350" xr:uid="{00000000-0005-0000-0000-000055010000}"/>
    <cellStyle name="20% - Accent6 7 3" xfId="351" xr:uid="{00000000-0005-0000-0000-000056010000}"/>
    <cellStyle name="20% - Accent6 8" xfId="352" xr:uid="{00000000-0005-0000-0000-000057010000}"/>
    <cellStyle name="20% - Accent6 8 2" xfId="353" xr:uid="{00000000-0005-0000-0000-000058010000}"/>
    <cellStyle name="20% - Accent6 8 2 2" xfId="354" xr:uid="{00000000-0005-0000-0000-000059010000}"/>
    <cellStyle name="20% - Accent6 8 3" xfId="355" xr:uid="{00000000-0005-0000-0000-00005A010000}"/>
    <cellStyle name="20% - Accent6 9" xfId="356" xr:uid="{00000000-0005-0000-0000-00005B010000}"/>
    <cellStyle name="2x indented GHG Textfiels" xfId="357" xr:uid="{00000000-0005-0000-0000-00005C010000}"/>
    <cellStyle name="2x indented GHG Textfiels 2" xfId="1297" xr:uid="{00000000-0005-0000-0000-00005D010000}"/>
    <cellStyle name="2x indented GHG Textfiels 2 10" xfId="1688" xr:uid="{00000000-0005-0000-0000-00005E010000}"/>
    <cellStyle name="2x indented GHG Textfiels 2 10 2" xfId="5820" xr:uid="{00000000-0005-0000-0000-00005F010000}"/>
    <cellStyle name="2x indented GHG Textfiels 2 10 2 2" xfId="22417" xr:uid="{00000000-0005-0000-0000-000060010000}"/>
    <cellStyle name="2x indented GHG Textfiels 2 10 3" xfId="12082" xr:uid="{00000000-0005-0000-0000-000061010000}"/>
    <cellStyle name="2x indented GHG Textfiels 2 10 3 2" xfId="26914" xr:uid="{00000000-0005-0000-0000-000062010000}"/>
    <cellStyle name="2x indented GHG Textfiels 2 11" xfId="5475" xr:uid="{00000000-0005-0000-0000-000063010000}"/>
    <cellStyle name="2x indented GHG Textfiels 2 11 2" xfId="15710" xr:uid="{00000000-0005-0000-0000-000064010000}"/>
    <cellStyle name="2x indented GHG Textfiels 2 11 2 2" xfId="30542" xr:uid="{00000000-0005-0000-0000-000065010000}"/>
    <cellStyle name="2x indented GHG Textfiels 2 11 3" xfId="22203" xr:uid="{00000000-0005-0000-0000-000066010000}"/>
    <cellStyle name="2x indented GHG Textfiels 2 2" xfId="1381" xr:uid="{00000000-0005-0000-0000-000067010000}"/>
    <cellStyle name="2x indented GHG Textfiels 2 2 2" xfId="1677" xr:uid="{00000000-0005-0000-0000-000068010000}"/>
    <cellStyle name="2x indented GHG Textfiels 2 2 2 2" xfId="2260" xr:uid="{00000000-0005-0000-0000-000069010000}"/>
    <cellStyle name="2x indented GHG Textfiels 2 2 2 2 2" xfId="4364" xr:uid="{00000000-0005-0000-0000-00006A010000}"/>
    <cellStyle name="2x indented GHG Textfiels 2 2 2 2 2 2" xfId="8403" xr:uid="{00000000-0005-0000-0000-00006B010000}"/>
    <cellStyle name="2x indented GHG Textfiels 2 2 2 2 2 2 2" xfId="24061" xr:uid="{00000000-0005-0000-0000-00006C010000}"/>
    <cellStyle name="2x indented GHG Textfiels 2 2 2 2 2 3" xfId="14693" xr:uid="{00000000-0005-0000-0000-00006D010000}"/>
    <cellStyle name="2x indented GHG Textfiels 2 2 2 2 2 3 2" xfId="29525" xr:uid="{00000000-0005-0000-0000-00006E010000}"/>
    <cellStyle name="2x indented GHG Textfiels 2 2 2 2 3" xfId="5228" xr:uid="{00000000-0005-0000-0000-00006F010000}"/>
    <cellStyle name="2x indented GHG Textfiels 2 2 2 2 3 2" xfId="9267" xr:uid="{00000000-0005-0000-0000-000070010000}"/>
    <cellStyle name="2x indented GHG Textfiels 2 2 2 2 3 2 2" xfId="24605" xr:uid="{00000000-0005-0000-0000-000071010000}"/>
    <cellStyle name="2x indented GHG Textfiels 2 2 2 2 3 3" xfId="15544" xr:uid="{00000000-0005-0000-0000-000072010000}"/>
    <cellStyle name="2x indented GHG Textfiels 2 2 2 2 3 3 2" xfId="30376" xr:uid="{00000000-0005-0000-0000-000073010000}"/>
    <cellStyle name="2x indented GHG Textfiels 2 2 2 2 4" xfId="4258" xr:uid="{00000000-0005-0000-0000-000074010000}"/>
    <cellStyle name="2x indented GHG Textfiels 2 2 2 2 4 2" xfId="8297" xr:uid="{00000000-0005-0000-0000-000075010000}"/>
    <cellStyle name="2x indented GHG Textfiels 2 2 2 2 4 2 2" xfId="23992" xr:uid="{00000000-0005-0000-0000-000076010000}"/>
    <cellStyle name="2x indented GHG Textfiels 2 2 2 2 4 3" xfId="14590" xr:uid="{00000000-0005-0000-0000-000077010000}"/>
    <cellStyle name="2x indented GHG Textfiels 2 2 2 2 4 3 2" xfId="29422" xr:uid="{00000000-0005-0000-0000-000078010000}"/>
    <cellStyle name="2x indented GHG Textfiels 2 2 2 2 5" xfId="6372" xr:uid="{00000000-0005-0000-0000-000079010000}"/>
    <cellStyle name="2x indented GHG Textfiels 2 2 2 2 5 2" xfId="22774" xr:uid="{00000000-0005-0000-0000-00007A010000}"/>
    <cellStyle name="2x indented GHG Textfiels 2 2 2 3" xfId="3965" xr:uid="{00000000-0005-0000-0000-00007B010000}"/>
    <cellStyle name="2x indented GHG Textfiels 2 2 2 3 2" xfId="8015" xr:uid="{00000000-0005-0000-0000-00007C010000}"/>
    <cellStyle name="2x indented GHG Textfiels 2 2 2 3 2 2" xfId="23808" xr:uid="{00000000-0005-0000-0000-00007D010000}"/>
    <cellStyle name="2x indented GHG Textfiels 2 2 2 3 3" xfId="14298" xr:uid="{00000000-0005-0000-0000-00007E010000}"/>
    <cellStyle name="2x indented GHG Textfiels 2 2 2 3 3 2" xfId="29130" xr:uid="{00000000-0005-0000-0000-00007F010000}"/>
    <cellStyle name="2x indented GHG Textfiels 2 2 2 4" xfId="4274" xr:uid="{00000000-0005-0000-0000-000080010000}"/>
    <cellStyle name="2x indented GHG Textfiels 2 2 2 4 2" xfId="8313" xr:uid="{00000000-0005-0000-0000-000081010000}"/>
    <cellStyle name="2x indented GHG Textfiels 2 2 2 4 2 2" xfId="24007" xr:uid="{00000000-0005-0000-0000-000082010000}"/>
    <cellStyle name="2x indented GHG Textfiels 2 2 2 4 3" xfId="14606" xr:uid="{00000000-0005-0000-0000-000083010000}"/>
    <cellStyle name="2x indented GHG Textfiels 2 2 2 4 3 2" xfId="29438" xr:uid="{00000000-0005-0000-0000-000084010000}"/>
    <cellStyle name="2x indented GHG Textfiels 2 2 2 5" xfId="4863" xr:uid="{00000000-0005-0000-0000-000085010000}"/>
    <cellStyle name="2x indented GHG Textfiels 2 2 2 5 2" xfId="8902" xr:uid="{00000000-0005-0000-0000-000086010000}"/>
    <cellStyle name="2x indented GHG Textfiels 2 2 2 5 2 2" xfId="24368" xr:uid="{00000000-0005-0000-0000-000087010000}"/>
    <cellStyle name="2x indented GHG Textfiels 2 2 2 5 3" xfId="15187" xr:uid="{00000000-0005-0000-0000-000088010000}"/>
    <cellStyle name="2x indented GHG Textfiels 2 2 2 5 3 2" xfId="30019" xr:uid="{00000000-0005-0000-0000-000089010000}"/>
    <cellStyle name="2x indented GHG Textfiels 2 2 2 6" xfId="2853" xr:uid="{00000000-0005-0000-0000-00008A010000}"/>
    <cellStyle name="2x indented GHG Textfiels 2 2 2 6 2" xfId="13191" xr:uid="{00000000-0005-0000-0000-00008B010000}"/>
    <cellStyle name="2x indented GHG Textfiels 2 2 2 6 2 2" xfId="28023" xr:uid="{00000000-0005-0000-0000-00008C010000}"/>
    <cellStyle name="2x indented GHG Textfiels 2 2 2 6 3" xfId="20779" xr:uid="{00000000-0005-0000-0000-00008D010000}"/>
    <cellStyle name="2x indented GHG Textfiels 2 2 2 7" xfId="1885" xr:uid="{00000000-0005-0000-0000-00008E010000}"/>
    <cellStyle name="2x indented GHG Textfiels 2 2 2 7 2" xfId="6017" xr:uid="{00000000-0005-0000-0000-00008F010000}"/>
    <cellStyle name="2x indented GHG Textfiels 2 2 2 7 2 2" xfId="22550" xr:uid="{00000000-0005-0000-0000-000090010000}"/>
    <cellStyle name="2x indented GHG Textfiels 2 2 2 8" xfId="12072" xr:uid="{00000000-0005-0000-0000-000091010000}"/>
    <cellStyle name="2x indented GHG Textfiels 2 2 2 8 2" xfId="26904" xr:uid="{00000000-0005-0000-0000-000092010000}"/>
    <cellStyle name="2x indented GHG Textfiels 2 2 3" xfId="3664" xr:uid="{00000000-0005-0000-0000-000093010000}"/>
    <cellStyle name="2x indented GHG Textfiels 2 2 3 2" xfId="7723" xr:uid="{00000000-0005-0000-0000-000094010000}"/>
    <cellStyle name="2x indented GHG Textfiels 2 2 3 2 2" xfId="23619" xr:uid="{00000000-0005-0000-0000-000095010000}"/>
    <cellStyle name="2x indented GHG Textfiels 2 2 3 3" xfId="13999" xr:uid="{00000000-0005-0000-0000-000096010000}"/>
    <cellStyle name="2x indented GHG Textfiels 2 2 3 3 2" xfId="28831" xr:uid="{00000000-0005-0000-0000-000097010000}"/>
    <cellStyle name="2x indented GHG Textfiels 2 2 4" xfId="4443" xr:uid="{00000000-0005-0000-0000-000098010000}"/>
    <cellStyle name="2x indented GHG Textfiels 2 2 4 2" xfId="8482" xr:uid="{00000000-0005-0000-0000-000099010000}"/>
    <cellStyle name="2x indented GHG Textfiels 2 2 4 2 2" xfId="24108" xr:uid="{00000000-0005-0000-0000-00009A010000}"/>
    <cellStyle name="2x indented GHG Textfiels 2 2 4 3" xfId="14772" xr:uid="{00000000-0005-0000-0000-00009B010000}"/>
    <cellStyle name="2x indented GHG Textfiels 2 2 4 3 2" xfId="29604" xr:uid="{00000000-0005-0000-0000-00009C010000}"/>
    <cellStyle name="2x indented GHG Textfiels 2 2 5" xfId="2433" xr:uid="{00000000-0005-0000-0000-00009D010000}"/>
    <cellStyle name="2x indented GHG Textfiels 2 2 5 2" xfId="12772" xr:uid="{00000000-0005-0000-0000-00009E010000}"/>
    <cellStyle name="2x indented GHG Textfiels 2 2 5 2 2" xfId="27604" xr:uid="{00000000-0005-0000-0000-00009F010000}"/>
    <cellStyle name="2x indented GHG Textfiels 2 2 5 3" xfId="20525" xr:uid="{00000000-0005-0000-0000-0000A0010000}"/>
    <cellStyle name="2x indented GHG Textfiels 2 2 6" xfId="5558" xr:uid="{00000000-0005-0000-0000-0000A1010000}"/>
    <cellStyle name="2x indented GHG Textfiels 2 2 6 2" xfId="15793" xr:uid="{00000000-0005-0000-0000-0000A2010000}"/>
    <cellStyle name="2x indented GHG Textfiels 2 2 6 2 2" xfId="30625" xr:uid="{00000000-0005-0000-0000-0000A3010000}"/>
    <cellStyle name="2x indented GHG Textfiels 2 2 6 3" xfId="22254" xr:uid="{00000000-0005-0000-0000-0000A4010000}"/>
    <cellStyle name="2x indented GHG Textfiels 2 3" xfId="1553" xr:uid="{00000000-0005-0000-0000-0000A5010000}"/>
    <cellStyle name="2x indented GHG Textfiels 2 3 2" xfId="2050" xr:uid="{00000000-0005-0000-0000-0000A6010000}"/>
    <cellStyle name="2x indented GHG Textfiels 2 3 2 2" xfId="4073" xr:uid="{00000000-0005-0000-0000-0000A7010000}"/>
    <cellStyle name="2x indented GHG Textfiels 2 3 2 2 2" xfId="8120" xr:uid="{00000000-0005-0000-0000-0000A8010000}"/>
    <cellStyle name="2x indented GHG Textfiels 2 3 2 2 2 2" xfId="23871" xr:uid="{00000000-0005-0000-0000-0000A9010000}"/>
    <cellStyle name="2x indented GHG Textfiels 2 3 2 2 3" xfId="14405" xr:uid="{00000000-0005-0000-0000-0000AA010000}"/>
    <cellStyle name="2x indented GHG Textfiels 2 3 2 2 3 2" xfId="29237" xr:uid="{00000000-0005-0000-0000-0000AB010000}"/>
    <cellStyle name="2x indented GHG Textfiels 2 3 2 3" xfId="3450" xr:uid="{00000000-0005-0000-0000-0000AC010000}"/>
    <cellStyle name="2x indented GHG Textfiels 2 3 2 3 2" xfId="7513" xr:uid="{00000000-0005-0000-0000-0000AD010000}"/>
    <cellStyle name="2x indented GHG Textfiels 2 3 2 3 2 2" xfId="23484" xr:uid="{00000000-0005-0000-0000-0000AE010000}"/>
    <cellStyle name="2x indented GHG Textfiels 2 3 2 3 3" xfId="13787" xr:uid="{00000000-0005-0000-0000-0000AF010000}"/>
    <cellStyle name="2x indented GHG Textfiels 2 3 2 3 3 2" xfId="28619" xr:uid="{00000000-0005-0000-0000-0000B0010000}"/>
    <cellStyle name="2x indented GHG Textfiels 2 3 2 4" xfId="5018" xr:uid="{00000000-0005-0000-0000-0000B1010000}"/>
    <cellStyle name="2x indented GHG Textfiels 2 3 2 4 2" xfId="9057" xr:uid="{00000000-0005-0000-0000-0000B2010000}"/>
    <cellStyle name="2x indented GHG Textfiels 2 3 2 4 2 2" xfId="24491" xr:uid="{00000000-0005-0000-0000-0000B3010000}"/>
    <cellStyle name="2x indented GHG Textfiels 2 3 2 4 3" xfId="15340" xr:uid="{00000000-0005-0000-0000-0000B4010000}"/>
    <cellStyle name="2x indented GHG Textfiels 2 3 2 4 3 2" xfId="30172" xr:uid="{00000000-0005-0000-0000-0000B5010000}"/>
    <cellStyle name="2x indented GHG Textfiels 2 3 2 5" xfId="3008" xr:uid="{00000000-0005-0000-0000-0000B6010000}"/>
    <cellStyle name="2x indented GHG Textfiels 2 3 2 5 2" xfId="13346" xr:uid="{00000000-0005-0000-0000-0000B7010000}"/>
    <cellStyle name="2x indented GHG Textfiels 2 3 2 5 2 2" xfId="28178" xr:uid="{00000000-0005-0000-0000-0000B8010000}"/>
    <cellStyle name="2x indented GHG Textfiels 2 3 2 5 3" xfId="20902" xr:uid="{00000000-0005-0000-0000-0000B9010000}"/>
    <cellStyle name="2x indented GHG Textfiels 2 3 3" xfId="3775" xr:uid="{00000000-0005-0000-0000-0000BA010000}"/>
    <cellStyle name="2x indented GHG Textfiels 2 3 3 2" xfId="7831" xr:uid="{00000000-0005-0000-0000-0000BB010000}"/>
    <cellStyle name="2x indented GHG Textfiels 2 3 3 2 2" xfId="23687" xr:uid="{00000000-0005-0000-0000-0000BC010000}"/>
    <cellStyle name="2x indented GHG Textfiels 2 3 3 3" xfId="14110" xr:uid="{00000000-0005-0000-0000-0000BD010000}"/>
    <cellStyle name="2x indented GHG Textfiels 2 3 3 3 2" xfId="28942" xr:uid="{00000000-0005-0000-0000-0000BE010000}"/>
    <cellStyle name="2x indented GHG Textfiels 2 3 4" xfId="4598" xr:uid="{00000000-0005-0000-0000-0000BF010000}"/>
    <cellStyle name="2x indented GHG Textfiels 2 3 4 2" xfId="8637" xr:uid="{00000000-0005-0000-0000-0000C0010000}"/>
    <cellStyle name="2x indented GHG Textfiels 2 3 4 2 2" xfId="24231" xr:uid="{00000000-0005-0000-0000-0000C1010000}"/>
    <cellStyle name="2x indented GHG Textfiels 2 3 4 3" xfId="14925" xr:uid="{00000000-0005-0000-0000-0000C2010000}"/>
    <cellStyle name="2x indented GHG Textfiels 2 3 4 3 2" xfId="29757" xr:uid="{00000000-0005-0000-0000-0000C3010000}"/>
    <cellStyle name="2x indented GHG Textfiels 2 3 5" xfId="2588" xr:uid="{00000000-0005-0000-0000-0000C4010000}"/>
    <cellStyle name="2x indented GHG Textfiels 2 3 5 2" xfId="12926" xr:uid="{00000000-0005-0000-0000-0000C5010000}"/>
    <cellStyle name="2x indented GHG Textfiels 2 3 5 2 2" xfId="27758" xr:uid="{00000000-0005-0000-0000-0000C6010000}"/>
    <cellStyle name="2x indented GHG Textfiels 2 3 5 3" xfId="20642" xr:uid="{00000000-0005-0000-0000-0000C7010000}"/>
    <cellStyle name="2x indented GHG Textfiels 2 3 6" xfId="1699" xr:uid="{00000000-0005-0000-0000-0000C8010000}"/>
    <cellStyle name="2x indented GHG Textfiels 2 3 6 2" xfId="5831" xr:uid="{00000000-0005-0000-0000-0000C9010000}"/>
    <cellStyle name="2x indented GHG Textfiels 2 3 6 2 2" xfId="22428" xr:uid="{00000000-0005-0000-0000-0000CA010000}"/>
    <cellStyle name="2x indented GHG Textfiels 2 3 6 3" xfId="12093" xr:uid="{00000000-0005-0000-0000-0000CB010000}"/>
    <cellStyle name="2x indented GHG Textfiels 2 3 6 3 2" xfId="26925" xr:uid="{00000000-0005-0000-0000-0000CC010000}"/>
    <cellStyle name="2x indented GHG Textfiels 2 4" xfId="1606" xr:uid="{00000000-0005-0000-0000-0000CD010000}"/>
    <cellStyle name="2x indented GHG Textfiels 2 4 2" xfId="2103" xr:uid="{00000000-0005-0000-0000-0000CE010000}"/>
    <cellStyle name="2x indented GHG Textfiels 2 4 2 2" xfId="4113" xr:uid="{00000000-0005-0000-0000-0000CF010000}"/>
    <cellStyle name="2x indented GHG Textfiels 2 4 2 2 2" xfId="8159" xr:uid="{00000000-0005-0000-0000-0000D0010000}"/>
    <cellStyle name="2x indented GHG Textfiels 2 4 2 2 2 2" xfId="23897" xr:uid="{00000000-0005-0000-0000-0000D1010000}"/>
    <cellStyle name="2x indented GHG Textfiels 2 4 2 2 3" xfId="14445" xr:uid="{00000000-0005-0000-0000-0000D2010000}"/>
    <cellStyle name="2x indented GHG Textfiels 2 4 2 2 3 2" xfId="29277" xr:uid="{00000000-0005-0000-0000-0000D3010000}"/>
    <cellStyle name="2x indented GHG Textfiels 2 4 2 3" xfId="3643" xr:uid="{00000000-0005-0000-0000-0000D4010000}"/>
    <cellStyle name="2x indented GHG Textfiels 2 4 2 3 2" xfId="7702" xr:uid="{00000000-0005-0000-0000-0000D5010000}"/>
    <cellStyle name="2x indented GHG Textfiels 2 4 2 3 2 2" xfId="23602" xr:uid="{00000000-0005-0000-0000-0000D6010000}"/>
    <cellStyle name="2x indented GHG Textfiels 2 4 2 3 3" xfId="13978" xr:uid="{00000000-0005-0000-0000-0000D7010000}"/>
    <cellStyle name="2x indented GHG Textfiels 2 4 2 3 3 2" xfId="28810" xr:uid="{00000000-0005-0000-0000-0000D8010000}"/>
    <cellStyle name="2x indented GHG Textfiels 2 4 2 4" xfId="5071" xr:uid="{00000000-0005-0000-0000-0000D9010000}"/>
    <cellStyle name="2x indented GHG Textfiels 2 4 2 4 2" xfId="9110" xr:uid="{00000000-0005-0000-0000-0000DA010000}"/>
    <cellStyle name="2x indented GHG Textfiels 2 4 2 4 2 2" xfId="24512" xr:uid="{00000000-0005-0000-0000-0000DB010000}"/>
    <cellStyle name="2x indented GHG Textfiels 2 4 2 4 3" xfId="15392" xr:uid="{00000000-0005-0000-0000-0000DC010000}"/>
    <cellStyle name="2x indented GHG Textfiels 2 4 2 4 3 2" xfId="30224" xr:uid="{00000000-0005-0000-0000-0000DD010000}"/>
    <cellStyle name="2x indented GHG Textfiels 2 4 2 5" xfId="3061" xr:uid="{00000000-0005-0000-0000-0000DE010000}"/>
    <cellStyle name="2x indented GHG Textfiels 2 4 2 5 2" xfId="13399" xr:uid="{00000000-0005-0000-0000-0000DF010000}"/>
    <cellStyle name="2x indented GHG Textfiels 2 4 2 5 2 2" xfId="28231" xr:uid="{00000000-0005-0000-0000-0000E0010000}"/>
    <cellStyle name="2x indented GHG Textfiels 2 4 2 5 3" xfId="20923" xr:uid="{00000000-0005-0000-0000-0000E1010000}"/>
    <cellStyle name="2x indented GHG Textfiels 2 4 3" xfId="3813" xr:uid="{00000000-0005-0000-0000-0000E2010000}"/>
    <cellStyle name="2x indented GHG Textfiels 2 4 3 2" xfId="7867" xr:uid="{00000000-0005-0000-0000-0000E3010000}"/>
    <cellStyle name="2x indented GHG Textfiels 2 4 3 2 2" xfId="23714" xr:uid="{00000000-0005-0000-0000-0000E4010000}"/>
    <cellStyle name="2x indented GHG Textfiels 2 4 3 3" xfId="14148" xr:uid="{00000000-0005-0000-0000-0000E5010000}"/>
    <cellStyle name="2x indented GHG Textfiels 2 4 3 3 2" xfId="28980" xr:uid="{00000000-0005-0000-0000-0000E6010000}"/>
    <cellStyle name="2x indented GHG Textfiels 2 4 4" xfId="4651" xr:uid="{00000000-0005-0000-0000-0000E7010000}"/>
    <cellStyle name="2x indented GHG Textfiels 2 4 4 2" xfId="8690" xr:uid="{00000000-0005-0000-0000-0000E8010000}"/>
    <cellStyle name="2x indented GHG Textfiels 2 4 4 2 2" xfId="24252" xr:uid="{00000000-0005-0000-0000-0000E9010000}"/>
    <cellStyle name="2x indented GHG Textfiels 2 4 4 3" xfId="14977" xr:uid="{00000000-0005-0000-0000-0000EA010000}"/>
    <cellStyle name="2x indented GHG Textfiels 2 4 4 3 2" xfId="29809" xr:uid="{00000000-0005-0000-0000-0000EB010000}"/>
    <cellStyle name="2x indented GHG Textfiels 2 4 5" xfId="2641" xr:uid="{00000000-0005-0000-0000-0000EC010000}"/>
    <cellStyle name="2x indented GHG Textfiels 2 4 5 2" xfId="12979" xr:uid="{00000000-0005-0000-0000-0000ED010000}"/>
    <cellStyle name="2x indented GHG Textfiels 2 4 5 2 2" xfId="27811" xr:uid="{00000000-0005-0000-0000-0000EE010000}"/>
    <cellStyle name="2x indented GHG Textfiels 2 4 5 3" xfId="20663" xr:uid="{00000000-0005-0000-0000-0000EF010000}"/>
    <cellStyle name="2x indented GHG Textfiels 2 4 6" xfId="1704" xr:uid="{00000000-0005-0000-0000-0000F0010000}"/>
    <cellStyle name="2x indented GHG Textfiels 2 4 6 2" xfId="5836" xr:uid="{00000000-0005-0000-0000-0000F1010000}"/>
    <cellStyle name="2x indented GHG Textfiels 2 4 6 2 2" xfId="22433" xr:uid="{00000000-0005-0000-0000-0000F2010000}"/>
    <cellStyle name="2x indented GHG Textfiels 2 4 6 3" xfId="12098" xr:uid="{00000000-0005-0000-0000-0000F3010000}"/>
    <cellStyle name="2x indented GHG Textfiels 2 4 6 3 2" xfId="26930" xr:uid="{00000000-0005-0000-0000-0000F4010000}"/>
    <cellStyle name="2x indented GHG Textfiels 2 5" xfId="1656" xr:uid="{00000000-0005-0000-0000-0000F5010000}"/>
    <cellStyle name="2x indented GHG Textfiels 2 5 2" xfId="2153" xr:uid="{00000000-0005-0000-0000-0000F6010000}"/>
    <cellStyle name="2x indented GHG Textfiels 2 5 2 2" xfId="4151" xr:uid="{00000000-0005-0000-0000-0000F7010000}"/>
    <cellStyle name="2x indented GHG Textfiels 2 5 2 2 2" xfId="8194" xr:uid="{00000000-0005-0000-0000-0000F8010000}"/>
    <cellStyle name="2x indented GHG Textfiels 2 5 2 2 2 2" xfId="23921" xr:uid="{00000000-0005-0000-0000-0000F9010000}"/>
    <cellStyle name="2x indented GHG Textfiels 2 5 2 2 3" xfId="14483" xr:uid="{00000000-0005-0000-0000-0000FA010000}"/>
    <cellStyle name="2x indented GHG Textfiels 2 5 2 2 3 2" xfId="29315" xr:uid="{00000000-0005-0000-0000-0000FB010000}"/>
    <cellStyle name="2x indented GHG Textfiels 2 5 2 3" xfId="3657" xr:uid="{00000000-0005-0000-0000-0000FC010000}"/>
    <cellStyle name="2x indented GHG Textfiels 2 5 2 3 2" xfId="7716" xr:uid="{00000000-0005-0000-0000-0000FD010000}"/>
    <cellStyle name="2x indented GHG Textfiels 2 5 2 3 2 2" xfId="23613" xr:uid="{00000000-0005-0000-0000-0000FE010000}"/>
    <cellStyle name="2x indented GHG Textfiels 2 5 2 3 3" xfId="13992" xr:uid="{00000000-0005-0000-0000-0000FF010000}"/>
    <cellStyle name="2x indented GHG Textfiels 2 5 2 3 3 2" xfId="28824" xr:uid="{00000000-0005-0000-0000-000000020000}"/>
    <cellStyle name="2x indented GHG Textfiels 2 5 2 4" xfId="5121" xr:uid="{00000000-0005-0000-0000-000001020000}"/>
    <cellStyle name="2x indented GHG Textfiels 2 5 2 4 2" xfId="9160" xr:uid="{00000000-0005-0000-0000-000002020000}"/>
    <cellStyle name="2x indented GHG Textfiels 2 5 2 4 2 2" xfId="24530" xr:uid="{00000000-0005-0000-0000-000003020000}"/>
    <cellStyle name="2x indented GHG Textfiels 2 5 2 4 3" xfId="15441" xr:uid="{00000000-0005-0000-0000-000004020000}"/>
    <cellStyle name="2x indented GHG Textfiels 2 5 2 4 3 2" xfId="30273" xr:uid="{00000000-0005-0000-0000-000005020000}"/>
    <cellStyle name="2x indented GHG Textfiels 2 5 2 5" xfId="3111" xr:uid="{00000000-0005-0000-0000-000006020000}"/>
    <cellStyle name="2x indented GHG Textfiels 2 5 2 5 2" xfId="13449" xr:uid="{00000000-0005-0000-0000-000007020000}"/>
    <cellStyle name="2x indented GHG Textfiels 2 5 2 5 2 2" xfId="28281" xr:uid="{00000000-0005-0000-0000-000008020000}"/>
    <cellStyle name="2x indented GHG Textfiels 2 5 2 5 3" xfId="20941" xr:uid="{00000000-0005-0000-0000-000009020000}"/>
    <cellStyle name="2x indented GHG Textfiels 2 5 3" xfId="3851" xr:uid="{00000000-0005-0000-0000-00000A020000}"/>
    <cellStyle name="2x indented GHG Textfiels 2 5 3 2" xfId="7904" xr:uid="{00000000-0005-0000-0000-00000B020000}"/>
    <cellStyle name="2x indented GHG Textfiels 2 5 3 2 2" xfId="23740" xr:uid="{00000000-0005-0000-0000-00000C020000}"/>
    <cellStyle name="2x indented GHG Textfiels 2 5 3 3" xfId="14186" xr:uid="{00000000-0005-0000-0000-00000D020000}"/>
    <cellStyle name="2x indented GHG Textfiels 2 5 3 3 2" xfId="29018" xr:uid="{00000000-0005-0000-0000-00000E020000}"/>
    <cellStyle name="2x indented GHG Textfiels 2 5 4" xfId="4701" xr:uid="{00000000-0005-0000-0000-00000F020000}"/>
    <cellStyle name="2x indented GHG Textfiels 2 5 4 2" xfId="8740" xr:uid="{00000000-0005-0000-0000-000010020000}"/>
    <cellStyle name="2x indented GHG Textfiels 2 5 4 2 2" xfId="24270" xr:uid="{00000000-0005-0000-0000-000011020000}"/>
    <cellStyle name="2x indented GHG Textfiels 2 5 4 3" xfId="15026" xr:uid="{00000000-0005-0000-0000-000012020000}"/>
    <cellStyle name="2x indented GHG Textfiels 2 5 4 3 2" xfId="29858" xr:uid="{00000000-0005-0000-0000-000013020000}"/>
    <cellStyle name="2x indented GHG Textfiels 2 5 5" xfId="2691" xr:uid="{00000000-0005-0000-0000-000014020000}"/>
    <cellStyle name="2x indented GHG Textfiels 2 5 5 2" xfId="13029" xr:uid="{00000000-0005-0000-0000-000015020000}"/>
    <cellStyle name="2x indented GHG Textfiels 2 5 5 2 2" xfId="27861" xr:uid="{00000000-0005-0000-0000-000016020000}"/>
    <cellStyle name="2x indented GHG Textfiels 2 5 5 3" xfId="20681" xr:uid="{00000000-0005-0000-0000-000017020000}"/>
    <cellStyle name="2x indented GHG Textfiels 2 5 6" xfId="1709" xr:uid="{00000000-0005-0000-0000-000018020000}"/>
    <cellStyle name="2x indented GHG Textfiels 2 5 6 2" xfId="5841" xr:uid="{00000000-0005-0000-0000-000019020000}"/>
    <cellStyle name="2x indented GHG Textfiels 2 5 6 2 2" xfId="22438" xr:uid="{00000000-0005-0000-0000-00001A020000}"/>
    <cellStyle name="2x indented GHG Textfiels 2 5 6 3" xfId="12103" xr:uid="{00000000-0005-0000-0000-00001B020000}"/>
    <cellStyle name="2x indented GHG Textfiels 2 5 6 3 2" xfId="26935" xr:uid="{00000000-0005-0000-0000-00001C020000}"/>
    <cellStyle name="2x indented GHG Textfiels 2 6" xfId="1667" xr:uid="{00000000-0005-0000-0000-00001D020000}"/>
    <cellStyle name="2x indented GHG Textfiels 2 6 2" xfId="4354" xr:uid="{00000000-0005-0000-0000-00001E020000}"/>
    <cellStyle name="2x indented GHG Textfiels 2 6 2 2" xfId="8393" xr:uid="{00000000-0005-0000-0000-00001F020000}"/>
    <cellStyle name="2x indented GHG Textfiels 2 6 2 2 2" xfId="24051" xr:uid="{00000000-0005-0000-0000-000020020000}"/>
    <cellStyle name="2x indented GHG Textfiels 2 6 2 3" xfId="14683" xr:uid="{00000000-0005-0000-0000-000021020000}"/>
    <cellStyle name="2x indented GHG Textfiels 2 6 2 3 2" xfId="29515" xr:uid="{00000000-0005-0000-0000-000022020000}"/>
    <cellStyle name="2x indented GHG Textfiels 2 6 3" xfId="5218" xr:uid="{00000000-0005-0000-0000-000023020000}"/>
    <cellStyle name="2x indented GHG Textfiels 2 6 3 2" xfId="9257" xr:uid="{00000000-0005-0000-0000-000024020000}"/>
    <cellStyle name="2x indented GHG Textfiels 2 6 3 2 2" xfId="24595" xr:uid="{00000000-0005-0000-0000-000025020000}"/>
    <cellStyle name="2x indented GHG Textfiels 2 6 3 3" xfId="15534" xr:uid="{00000000-0005-0000-0000-000026020000}"/>
    <cellStyle name="2x indented GHG Textfiels 2 6 3 3 2" xfId="30366" xr:uid="{00000000-0005-0000-0000-000027020000}"/>
    <cellStyle name="2x indented GHG Textfiels 2 6 4" xfId="4248" xr:uid="{00000000-0005-0000-0000-000028020000}"/>
    <cellStyle name="2x indented GHG Textfiels 2 6 4 2" xfId="8287" xr:uid="{00000000-0005-0000-0000-000029020000}"/>
    <cellStyle name="2x indented GHG Textfiels 2 6 4 2 2" xfId="23982" xr:uid="{00000000-0005-0000-0000-00002A020000}"/>
    <cellStyle name="2x indented GHG Textfiels 2 6 4 3" xfId="14580" xr:uid="{00000000-0005-0000-0000-00002B020000}"/>
    <cellStyle name="2x indented GHG Textfiels 2 6 4 3 2" xfId="29412" xr:uid="{00000000-0005-0000-0000-00002C020000}"/>
    <cellStyle name="2x indented GHG Textfiels 2 6 5" xfId="2250" xr:uid="{00000000-0005-0000-0000-00002D020000}"/>
    <cellStyle name="2x indented GHG Textfiels 2 6 5 2" xfId="6362" xr:uid="{00000000-0005-0000-0000-00002E020000}"/>
    <cellStyle name="2x indented GHG Textfiels 2 6 5 2 2" xfId="22764" xr:uid="{00000000-0005-0000-0000-00002F020000}"/>
    <cellStyle name="2x indented GHG Textfiels 2 6 6" xfId="5809" xr:uid="{00000000-0005-0000-0000-000030020000}"/>
    <cellStyle name="2x indented GHG Textfiels 2 6 6 2" xfId="22407" xr:uid="{00000000-0005-0000-0000-000031020000}"/>
    <cellStyle name="2x indented GHG Textfiels 2 6 7" xfId="12062" xr:uid="{00000000-0005-0000-0000-000032020000}"/>
    <cellStyle name="2x indented GHG Textfiels 2 6 7 2" xfId="26894" xr:uid="{00000000-0005-0000-0000-000033020000}"/>
    <cellStyle name="2x indented GHG Textfiels 2 7" xfId="3613" xr:uid="{00000000-0005-0000-0000-000034020000}"/>
    <cellStyle name="2x indented GHG Textfiels 2 7 2" xfId="7674" xr:uid="{00000000-0005-0000-0000-000035020000}"/>
    <cellStyle name="2x indented GHG Textfiels 2 7 2 2" xfId="23584" xr:uid="{00000000-0005-0000-0000-000036020000}"/>
    <cellStyle name="2x indented GHG Textfiels 2 7 3" xfId="13948" xr:uid="{00000000-0005-0000-0000-000037020000}"/>
    <cellStyle name="2x indented GHG Textfiels 2 7 3 2" xfId="28780" xr:uid="{00000000-0005-0000-0000-000038020000}"/>
    <cellStyle name="2x indented GHG Textfiels 2 8" xfId="4264" xr:uid="{00000000-0005-0000-0000-000039020000}"/>
    <cellStyle name="2x indented GHG Textfiels 2 8 2" xfId="8303" xr:uid="{00000000-0005-0000-0000-00003A020000}"/>
    <cellStyle name="2x indented GHG Textfiels 2 8 2 2" xfId="23998" xr:uid="{00000000-0005-0000-0000-00003B020000}"/>
    <cellStyle name="2x indented GHG Textfiels 2 8 3" xfId="14596" xr:uid="{00000000-0005-0000-0000-00003C020000}"/>
    <cellStyle name="2x indented GHG Textfiels 2 8 3 2" xfId="29428" xr:uid="{00000000-0005-0000-0000-00003D020000}"/>
    <cellStyle name="2x indented GHG Textfiels 2 9" xfId="2349" xr:uid="{00000000-0005-0000-0000-00003E020000}"/>
    <cellStyle name="2x indented GHG Textfiels 2 9 2" xfId="6461" xr:uid="{00000000-0005-0000-0000-00003F020000}"/>
    <cellStyle name="2x indented GHG Textfiels 2 9 2 2" xfId="22831" xr:uid="{00000000-0005-0000-0000-000040020000}"/>
    <cellStyle name="2x indented GHG Textfiels 2 9 3" xfId="12689" xr:uid="{00000000-0005-0000-0000-000041020000}"/>
    <cellStyle name="2x indented GHG Textfiels 2 9 3 2" xfId="27521" xr:uid="{00000000-0005-0000-0000-000042020000}"/>
    <cellStyle name="2x indented GHG Textfiels 3" xfId="1420" xr:uid="{00000000-0005-0000-0000-000043020000}"/>
    <cellStyle name="2x indented GHG Textfiels 3 2" xfId="1672" xr:uid="{00000000-0005-0000-0000-000044020000}"/>
    <cellStyle name="2x indented GHG Textfiels 3 2 2" xfId="2255" xr:uid="{00000000-0005-0000-0000-000045020000}"/>
    <cellStyle name="2x indented GHG Textfiels 3 2 2 2" xfId="4359" xr:uid="{00000000-0005-0000-0000-000046020000}"/>
    <cellStyle name="2x indented GHG Textfiels 3 2 2 2 2" xfId="8398" xr:uid="{00000000-0005-0000-0000-000047020000}"/>
    <cellStyle name="2x indented GHG Textfiels 3 2 2 2 2 2" xfId="24056" xr:uid="{00000000-0005-0000-0000-000048020000}"/>
    <cellStyle name="2x indented GHG Textfiels 3 2 2 2 3" xfId="14688" xr:uid="{00000000-0005-0000-0000-000049020000}"/>
    <cellStyle name="2x indented GHG Textfiels 3 2 2 2 3 2" xfId="29520" xr:uid="{00000000-0005-0000-0000-00004A020000}"/>
    <cellStyle name="2x indented GHG Textfiels 3 2 2 3" xfId="5223" xr:uid="{00000000-0005-0000-0000-00004B020000}"/>
    <cellStyle name="2x indented GHG Textfiels 3 2 2 3 2" xfId="9262" xr:uid="{00000000-0005-0000-0000-00004C020000}"/>
    <cellStyle name="2x indented GHG Textfiels 3 2 2 3 2 2" xfId="24600" xr:uid="{00000000-0005-0000-0000-00004D020000}"/>
    <cellStyle name="2x indented GHG Textfiels 3 2 2 3 3" xfId="15539" xr:uid="{00000000-0005-0000-0000-00004E020000}"/>
    <cellStyle name="2x indented GHG Textfiels 3 2 2 3 3 2" xfId="30371" xr:uid="{00000000-0005-0000-0000-00004F020000}"/>
    <cellStyle name="2x indented GHG Textfiels 3 2 2 4" xfId="4253" xr:uid="{00000000-0005-0000-0000-000050020000}"/>
    <cellStyle name="2x indented GHG Textfiels 3 2 2 4 2" xfId="8292" xr:uid="{00000000-0005-0000-0000-000051020000}"/>
    <cellStyle name="2x indented GHG Textfiels 3 2 2 4 2 2" xfId="23987" xr:uid="{00000000-0005-0000-0000-000052020000}"/>
    <cellStyle name="2x indented GHG Textfiels 3 2 2 4 3" xfId="14585" xr:uid="{00000000-0005-0000-0000-000053020000}"/>
    <cellStyle name="2x indented GHG Textfiels 3 2 2 4 3 2" xfId="29417" xr:uid="{00000000-0005-0000-0000-000054020000}"/>
    <cellStyle name="2x indented GHG Textfiels 3 2 2 5" xfId="6367" xr:uid="{00000000-0005-0000-0000-000055020000}"/>
    <cellStyle name="2x indented GHG Textfiels 3 2 2 5 2" xfId="22769" xr:uid="{00000000-0005-0000-0000-000056020000}"/>
    <cellStyle name="2x indented GHG Textfiels 3 2 3" xfId="3989" xr:uid="{00000000-0005-0000-0000-000057020000}"/>
    <cellStyle name="2x indented GHG Textfiels 3 2 3 2" xfId="8037" xr:uid="{00000000-0005-0000-0000-000058020000}"/>
    <cellStyle name="2x indented GHG Textfiels 3 2 3 2 2" xfId="23824" xr:uid="{00000000-0005-0000-0000-000059020000}"/>
    <cellStyle name="2x indented GHG Textfiels 3 2 3 3" xfId="14322" xr:uid="{00000000-0005-0000-0000-00005A020000}"/>
    <cellStyle name="2x indented GHG Textfiels 3 2 3 3 2" xfId="29154" xr:uid="{00000000-0005-0000-0000-00005B020000}"/>
    <cellStyle name="2x indented GHG Textfiels 3 2 4" xfId="3638" xr:uid="{00000000-0005-0000-0000-00005C020000}"/>
    <cellStyle name="2x indented GHG Textfiels 3 2 4 2" xfId="13973" xr:uid="{00000000-0005-0000-0000-00005D020000}"/>
    <cellStyle name="2x indented GHG Textfiels 3 2 4 2 2" xfId="28805" xr:uid="{00000000-0005-0000-0000-00005E020000}"/>
    <cellStyle name="2x indented GHG Textfiels 3 2 4 3" xfId="21264" xr:uid="{00000000-0005-0000-0000-00005F020000}"/>
    <cellStyle name="2x indented GHG Textfiels 3 2 5" xfId="4900" xr:uid="{00000000-0005-0000-0000-000060020000}"/>
    <cellStyle name="2x indented GHG Textfiels 3 2 5 2" xfId="8939" xr:uid="{00000000-0005-0000-0000-000061020000}"/>
    <cellStyle name="2x indented GHG Textfiels 3 2 5 2 2" xfId="24405" xr:uid="{00000000-0005-0000-0000-000062020000}"/>
    <cellStyle name="2x indented GHG Textfiels 3 2 5 3" xfId="15223" xr:uid="{00000000-0005-0000-0000-000063020000}"/>
    <cellStyle name="2x indented GHG Textfiels 3 2 5 3 2" xfId="30055" xr:uid="{00000000-0005-0000-0000-000064020000}"/>
    <cellStyle name="2x indented GHG Textfiels 3 2 6" xfId="2890" xr:uid="{00000000-0005-0000-0000-000065020000}"/>
    <cellStyle name="2x indented GHG Textfiels 3 2 6 2" xfId="13228" xr:uid="{00000000-0005-0000-0000-000066020000}"/>
    <cellStyle name="2x indented GHG Textfiels 3 2 6 2 2" xfId="28060" xr:uid="{00000000-0005-0000-0000-000067020000}"/>
    <cellStyle name="2x indented GHG Textfiels 3 2 6 3" xfId="20816" xr:uid="{00000000-0005-0000-0000-000068020000}"/>
    <cellStyle name="2x indented GHG Textfiels 3 2 7" xfId="12067" xr:uid="{00000000-0005-0000-0000-000069020000}"/>
    <cellStyle name="2x indented GHG Textfiels 3 2 7 2" xfId="26899" xr:uid="{00000000-0005-0000-0000-00006A020000}"/>
    <cellStyle name="2x indented GHG Textfiels 3 3" xfId="2239" xr:uid="{00000000-0005-0000-0000-00006B020000}"/>
    <cellStyle name="2x indented GHG Textfiels 3 3 2" xfId="4343" xr:uid="{00000000-0005-0000-0000-00006C020000}"/>
    <cellStyle name="2x indented GHG Textfiels 3 3 2 2" xfId="8382" xr:uid="{00000000-0005-0000-0000-00006D020000}"/>
    <cellStyle name="2x indented GHG Textfiels 3 3 2 2 2" xfId="24040" xr:uid="{00000000-0005-0000-0000-00006E020000}"/>
    <cellStyle name="2x indented GHG Textfiels 3 3 2 3" xfId="14673" xr:uid="{00000000-0005-0000-0000-00006F020000}"/>
    <cellStyle name="2x indented GHG Textfiels 3 3 2 3 2" xfId="29505" xr:uid="{00000000-0005-0000-0000-000070020000}"/>
    <cellStyle name="2x indented GHG Textfiels 3 3 3" xfId="5207" xr:uid="{00000000-0005-0000-0000-000071020000}"/>
    <cellStyle name="2x indented GHG Textfiels 3 3 3 2" xfId="9246" xr:uid="{00000000-0005-0000-0000-000072020000}"/>
    <cellStyle name="2x indented GHG Textfiels 3 3 3 2 2" xfId="24584" xr:uid="{00000000-0005-0000-0000-000073020000}"/>
    <cellStyle name="2x indented GHG Textfiels 3 3 3 3" xfId="15524" xr:uid="{00000000-0005-0000-0000-000074020000}"/>
    <cellStyle name="2x indented GHG Textfiels 3 3 3 3 2" xfId="30356" xr:uid="{00000000-0005-0000-0000-000075020000}"/>
    <cellStyle name="2x indented GHG Textfiels 3 3 4" xfId="4237" xr:uid="{00000000-0005-0000-0000-000076020000}"/>
    <cellStyle name="2x indented GHG Textfiels 3 3 4 2" xfId="8277" xr:uid="{00000000-0005-0000-0000-000077020000}"/>
    <cellStyle name="2x indented GHG Textfiels 3 3 4 2 2" xfId="23972" xr:uid="{00000000-0005-0000-0000-000078020000}"/>
    <cellStyle name="2x indented GHG Textfiels 3 3 4 3" xfId="14569" xr:uid="{00000000-0005-0000-0000-000079020000}"/>
    <cellStyle name="2x indented GHG Textfiels 3 3 4 3 2" xfId="29401" xr:uid="{00000000-0005-0000-0000-00007A020000}"/>
    <cellStyle name="2x indented GHG Textfiels 3 3 5" xfId="6352" xr:uid="{00000000-0005-0000-0000-00007B020000}"/>
    <cellStyle name="2x indented GHG Textfiels 3 3 5 2" xfId="22754" xr:uid="{00000000-0005-0000-0000-00007C020000}"/>
    <cellStyle name="2x indented GHG Textfiels 3 4" xfId="3689" xr:uid="{00000000-0005-0000-0000-00007D020000}"/>
    <cellStyle name="2x indented GHG Textfiels 3 4 2" xfId="7746" xr:uid="{00000000-0005-0000-0000-00007E020000}"/>
    <cellStyle name="2x indented GHG Textfiels 3 4 2 2" xfId="23633" xr:uid="{00000000-0005-0000-0000-00007F020000}"/>
    <cellStyle name="2x indented GHG Textfiels 3 4 3" xfId="14024" xr:uid="{00000000-0005-0000-0000-000080020000}"/>
    <cellStyle name="2x indented GHG Textfiels 3 4 3 2" xfId="28856" xr:uid="{00000000-0005-0000-0000-000081020000}"/>
    <cellStyle name="2x indented GHG Textfiels 3 5" xfId="3683" xr:uid="{00000000-0005-0000-0000-000082020000}"/>
    <cellStyle name="2x indented GHG Textfiels 3 5 2" xfId="14018" xr:uid="{00000000-0005-0000-0000-000083020000}"/>
    <cellStyle name="2x indented GHG Textfiels 3 5 2 2" xfId="28850" xr:uid="{00000000-0005-0000-0000-000084020000}"/>
    <cellStyle name="2x indented GHG Textfiels 3 5 3" xfId="21291" xr:uid="{00000000-0005-0000-0000-000085020000}"/>
    <cellStyle name="2x indented GHG Textfiels 3 6" xfId="4480" xr:uid="{00000000-0005-0000-0000-000086020000}"/>
    <cellStyle name="2x indented GHG Textfiels 3 6 2" xfId="8519" xr:uid="{00000000-0005-0000-0000-000087020000}"/>
    <cellStyle name="2x indented GHG Textfiels 3 6 2 2" xfId="24145" xr:uid="{00000000-0005-0000-0000-000088020000}"/>
    <cellStyle name="2x indented GHG Textfiels 3 6 3" xfId="14808" xr:uid="{00000000-0005-0000-0000-000089020000}"/>
    <cellStyle name="2x indented GHG Textfiels 3 6 3 2" xfId="29640" xr:uid="{00000000-0005-0000-0000-00008A020000}"/>
    <cellStyle name="2x indented GHG Textfiels 3 7" xfId="2470" xr:uid="{00000000-0005-0000-0000-00008B020000}"/>
    <cellStyle name="2x indented GHG Textfiels 3 7 2" xfId="6576" xr:uid="{00000000-0005-0000-0000-00008C020000}"/>
    <cellStyle name="2x indented GHG Textfiels 3 7 2 2" xfId="22914" xr:uid="{00000000-0005-0000-0000-00008D020000}"/>
    <cellStyle name="2x indented GHG Textfiels 3 7 3" xfId="12809" xr:uid="{00000000-0005-0000-0000-00008E020000}"/>
    <cellStyle name="2x indented GHG Textfiels 3 7 3 2" xfId="27641" xr:uid="{00000000-0005-0000-0000-00008F020000}"/>
    <cellStyle name="2x indented GHG Textfiels 3 8" xfId="1693" xr:uid="{00000000-0005-0000-0000-000090020000}"/>
    <cellStyle name="2x indented GHG Textfiels 3 8 2" xfId="5825" xr:uid="{00000000-0005-0000-0000-000091020000}"/>
    <cellStyle name="2x indented GHG Textfiels 3 8 2 2" xfId="22422" xr:uid="{00000000-0005-0000-0000-000092020000}"/>
    <cellStyle name="2x indented GHG Textfiels 3 8 3" xfId="12087" xr:uid="{00000000-0005-0000-0000-000093020000}"/>
    <cellStyle name="2x indented GHG Textfiels 3 8 3 2" xfId="26919" xr:uid="{00000000-0005-0000-0000-000094020000}"/>
    <cellStyle name="2x indented GHG Textfiels 3 9" xfId="5594" xr:uid="{00000000-0005-0000-0000-000095020000}"/>
    <cellStyle name="2x indented GHG Textfiels 3 9 2" xfId="15829" xr:uid="{00000000-0005-0000-0000-000096020000}"/>
    <cellStyle name="2x indented GHG Textfiels 3 9 2 2" xfId="30661" xr:uid="{00000000-0005-0000-0000-000097020000}"/>
    <cellStyle name="2x indented GHG Textfiels 3 9 3" xfId="22290" xr:uid="{00000000-0005-0000-0000-000098020000}"/>
    <cellStyle name="2x indented GHG Textfiels 4" xfId="1662" xr:uid="{00000000-0005-0000-0000-000099020000}"/>
    <cellStyle name="2x indented GHG Textfiels 4 2" xfId="4349" xr:uid="{00000000-0005-0000-0000-00009A020000}"/>
    <cellStyle name="2x indented GHG Textfiels 4 2 2" xfId="8388" xr:uid="{00000000-0005-0000-0000-00009B020000}"/>
    <cellStyle name="2x indented GHG Textfiels 4 2 2 2" xfId="24046" xr:uid="{00000000-0005-0000-0000-00009C020000}"/>
    <cellStyle name="2x indented GHG Textfiels 4 2 3" xfId="14678" xr:uid="{00000000-0005-0000-0000-00009D020000}"/>
    <cellStyle name="2x indented GHG Textfiels 4 2 3 2" xfId="29510" xr:uid="{00000000-0005-0000-0000-00009E020000}"/>
    <cellStyle name="2x indented GHG Textfiels 4 3" xfId="5213" xr:uid="{00000000-0005-0000-0000-00009F020000}"/>
    <cellStyle name="2x indented GHG Textfiels 4 3 2" xfId="9252" xr:uid="{00000000-0005-0000-0000-0000A0020000}"/>
    <cellStyle name="2x indented GHG Textfiels 4 3 2 2" xfId="24590" xr:uid="{00000000-0005-0000-0000-0000A1020000}"/>
    <cellStyle name="2x indented GHG Textfiels 4 3 3" xfId="15529" xr:uid="{00000000-0005-0000-0000-0000A2020000}"/>
    <cellStyle name="2x indented GHG Textfiels 4 3 3 2" xfId="30361" xr:uid="{00000000-0005-0000-0000-0000A3020000}"/>
    <cellStyle name="2x indented GHG Textfiels 4 4" xfId="4243" xr:uid="{00000000-0005-0000-0000-0000A4020000}"/>
    <cellStyle name="2x indented GHG Textfiels 4 4 2" xfId="8282" xr:uid="{00000000-0005-0000-0000-0000A5020000}"/>
    <cellStyle name="2x indented GHG Textfiels 4 4 2 2" xfId="23977" xr:uid="{00000000-0005-0000-0000-0000A6020000}"/>
    <cellStyle name="2x indented GHG Textfiels 4 4 3" xfId="14575" xr:uid="{00000000-0005-0000-0000-0000A7020000}"/>
    <cellStyle name="2x indented GHG Textfiels 4 4 3 2" xfId="29407" xr:uid="{00000000-0005-0000-0000-0000A8020000}"/>
    <cellStyle name="2x indented GHG Textfiels 4 5" xfId="2245" xr:uid="{00000000-0005-0000-0000-0000A9020000}"/>
    <cellStyle name="2x indented GHG Textfiels 4 5 2" xfId="6357" xr:uid="{00000000-0005-0000-0000-0000AA020000}"/>
    <cellStyle name="2x indented GHG Textfiels 4 5 2 2" xfId="22759" xr:uid="{00000000-0005-0000-0000-0000AB020000}"/>
    <cellStyle name="2x indented GHG Textfiels 4 6" xfId="5804" xr:uid="{00000000-0005-0000-0000-0000AC020000}"/>
    <cellStyle name="2x indented GHG Textfiels 4 6 2" xfId="22402" xr:uid="{00000000-0005-0000-0000-0000AD020000}"/>
    <cellStyle name="2x indented GHG Textfiels 4 7" xfId="12057" xr:uid="{00000000-0005-0000-0000-0000AE020000}"/>
    <cellStyle name="2x indented GHG Textfiels 4 7 2" xfId="26889" xr:uid="{00000000-0005-0000-0000-0000AF020000}"/>
    <cellStyle name="2x indented GHG Textfiels 5" xfId="3215" xr:uid="{00000000-0005-0000-0000-0000B0020000}"/>
    <cellStyle name="2x indented GHG Textfiels 5 2" xfId="7279" xr:uid="{00000000-0005-0000-0000-0000B1020000}"/>
    <cellStyle name="2x indented GHG Textfiels 5 2 2" xfId="23324" xr:uid="{00000000-0005-0000-0000-0000B2020000}"/>
    <cellStyle name="2x indented GHG Textfiels 5 3" xfId="13553" xr:uid="{00000000-0005-0000-0000-0000B3020000}"/>
    <cellStyle name="2x indented GHG Textfiels 5 3 2" xfId="28385" xr:uid="{00000000-0005-0000-0000-0000B4020000}"/>
    <cellStyle name="2x indented GHG Textfiels 6" xfId="3427" xr:uid="{00000000-0005-0000-0000-0000B5020000}"/>
    <cellStyle name="2x indented GHG Textfiels 6 2" xfId="7490" xr:uid="{00000000-0005-0000-0000-0000B6020000}"/>
    <cellStyle name="2x indented GHG Textfiels 6 2 2" xfId="23468" xr:uid="{00000000-0005-0000-0000-0000B7020000}"/>
    <cellStyle name="2x indented GHG Textfiels 6 3" xfId="13764" xr:uid="{00000000-0005-0000-0000-0000B8020000}"/>
    <cellStyle name="2x indented GHG Textfiels 6 3 2" xfId="28596" xr:uid="{00000000-0005-0000-0000-0000B9020000}"/>
    <cellStyle name="2x indented GHG Textfiels 7" xfId="2265" xr:uid="{00000000-0005-0000-0000-0000BA020000}"/>
    <cellStyle name="2x indented GHG Textfiels 7 2" xfId="6377" xr:uid="{00000000-0005-0000-0000-0000BB020000}"/>
    <cellStyle name="2x indented GHG Textfiels 7 2 2" xfId="22779" xr:uid="{00000000-0005-0000-0000-0000BC020000}"/>
    <cellStyle name="2x indented GHG Textfiels 7 3" xfId="12606" xr:uid="{00000000-0005-0000-0000-0000BD020000}"/>
    <cellStyle name="2x indented GHG Textfiels 7 3 2" xfId="27438" xr:uid="{00000000-0005-0000-0000-0000BE020000}"/>
    <cellStyle name="2x indented GHG Textfiels 8" xfId="1683" xr:uid="{00000000-0005-0000-0000-0000BF020000}"/>
    <cellStyle name="2x indented GHG Textfiels 8 2" xfId="5815" xr:uid="{00000000-0005-0000-0000-0000C0020000}"/>
    <cellStyle name="2x indented GHG Textfiels 8 2 2" xfId="22412" xr:uid="{00000000-0005-0000-0000-0000C1020000}"/>
    <cellStyle name="2x indented GHG Textfiels 8 3" xfId="12077" xr:uid="{00000000-0005-0000-0000-0000C2020000}"/>
    <cellStyle name="2x indented GHG Textfiels 8 3 2" xfId="26909" xr:uid="{00000000-0005-0000-0000-0000C3020000}"/>
    <cellStyle name="2x indented GHG Textfiels 9" xfId="5470" xr:uid="{00000000-0005-0000-0000-0000C4020000}"/>
    <cellStyle name="2x indented GHG Textfiels 9 2" xfId="15705" xr:uid="{00000000-0005-0000-0000-0000C5020000}"/>
    <cellStyle name="2x indented GHG Textfiels 9 2 2" xfId="30537" xr:uid="{00000000-0005-0000-0000-0000C6020000}"/>
    <cellStyle name="2x indented GHG Textfiels 9 3" xfId="22198" xr:uid="{00000000-0005-0000-0000-0000C7020000}"/>
    <cellStyle name="40% - Accent1 10" xfId="358" xr:uid="{00000000-0005-0000-0000-0000C8020000}"/>
    <cellStyle name="40% - Accent1 2" xfId="359" xr:uid="{00000000-0005-0000-0000-0000C9020000}"/>
    <cellStyle name="40% - Accent1 2 10" xfId="360" xr:uid="{00000000-0005-0000-0000-0000CA020000}"/>
    <cellStyle name="40% - Accent1 2 2" xfId="361" xr:uid="{00000000-0005-0000-0000-0000CB020000}"/>
    <cellStyle name="40% - Accent1 2 2 2" xfId="362" xr:uid="{00000000-0005-0000-0000-0000CC020000}"/>
    <cellStyle name="40% - Accent1 2 2 2 2" xfId="363" xr:uid="{00000000-0005-0000-0000-0000CD020000}"/>
    <cellStyle name="40% - Accent1 2 2 3" xfId="364" xr:uid="{00000000-0005-0000-0000-0000CE020000}"/>
    <cellStyle name="40% - Accent1 2 3" xfId="365" xr:uid="{00000000-0005-0000-0000-0000CF020000}"/>
    <cellStyle name="40% - Accent1 2 3 2" xfId="366" xr:uid="{00000000-0005-0000-0000-0000D0020000}"/>
    <cellStyle name="40% - Accent1 2 3 2 2" xfId="367" xr:uid="{00000000-0005-0000-0000-0000D1020000}"/>
    <cellStyle name="40% - Accent1 2 3 3" xfId="368" xr:uid="{00000000-0005-0000-0000-0000D2020000}"/>
    <cellStyle name="40% - Accent1 2 4" xfId="369" xr:uid="{00000000-0005-0000-0000-0000D3020000}"/>
    <cellStyle name="40% - Accent1 2 4 2" xfId="370" xr:uid="{00000000-0005-0000-0000-0000D4020000}"/>
    <cellStyle name="40% - Accent1 2 4 2 2" xfId="371" xr:uid="{00000000-0005-0000-0000-0000D5020000}"/>
    <cellStyle name="40% - Accent1 2 4 3" xfId="372" xr:uid="{00000000-0005-0000-0000-0000D6020000}"/>
    <cellStyle name="40% - Accent1 2 5" xfId="373" xr:uid="{00000000-0005-0000-0000-0000D7020000}"/>
    <cellStyle name="40% - Accent1 2 5 2" xfId="374" xr:uid="{00000000-0005-0000-0000-0000D8020000}"/>
    <cellStyle name="40% - Accent1 2 5 2 2" xfId="375" xr:uid="{00000000-0005-0000-0000-0000D9020000}"/>
    <cellStyle name="40% - Accent1 2 5 3" xfId="376" xr:uid="{00000000-0005-0000-0000-0000DA020000}"/>
    <cellStyle name="40% - Accent1 2 6" xfId="377" xr:uid="{00000000-0005-0000-0000-0000DB020000}"/>
    <cellStyle name="40% - Accent1 2 6 2" xfId="378" xr:uid="{00000000-0005-0000-0000-0000DC020000}"/>
    <cellStyle name="40% - Accent1 2 6 2 2" xfId="379" xr:uid="{00000000-0005-0000-0000-0000DD020000}"/>
    <cellStyle name="40% - Accent1 2 6 3" xfId="380" xr:uid="{00000000-0005-0000-0000-0000DE020000}"/>
    <cellStyle name="40% - Accent1 2 7" xfId="381" xr:uid="{00000000-0005-0000-0000-0000DF020000}"/>
    <cellStyle name="40% - Accent1 2 7 2" xfId="382" xr:uid="{00000000-0005-0000-0000-0000E0020000}"/>
    <cellStyle name="40% - Accent1 2 7 2 2" xfId="383" xr:uid="{00000000-0005-0000-0000-0000E1020000}"/>
    <cellStyle name="40% - Accent1 2 7 3" xfId="384" xr:uid="{00000000-0005-0000-0000-0000E2020000}"/>
    <cellStyle name="40% - Accent1 2 8" xfId="385" xr:uid="{00000000-0005-0000-0000-0000E3020000}"/>
    <cellStyle name="40% - Accent1 2 8 2" xfId="386" xr:uid="{00000000-0005-0000-0000-0000E4020000}"/>
    <cellStyle name="40% - Accent1 2 8 2 2" xfId="387" xr:uid="{00000000-0005-0000-0000-0000E5020000}"/>
    <cellStyle name="40% - Accent1 2 8 3" xfId="388" xr:uid="{00000000-0005-0000-0000-0000E6020000}"/>
    <cellStyle name="40% - Accent1 2 9" xfId="389" xr:uid="{00000000-0005-0000-0000-0000E7020000}"/>
    <cellStyle name="40% - Accent1 2 9 2" xfId="390" xr:uid="{00000000-0005-0000-0000-0000E8020000}"/>
    <cellStyle name="40% - Accent1 3" xfId="391" xr:uid="{00000000-0005-0000-0000-0000E9020000}"/>
    <cellStyle name="40% - Accent1 3 2" xfId="392" xr:uid="{00000000-0005-0000-0000-0000EA020000}"/>
    <cellStyle name="40% - Accent1 3 2 2" xfId="393" xr:uid="{00000000-0005-0000-0000-0000EB020000}"/>
    <cellStyle name="40% - Accent1 3 3" xfId="394" xr:uid="{00000000-0005-0000-0000-0000EC020000}"/>
    <cellStyle name="40% - Accent1 4" xfId="395" xr:uid="{00000000-0005-0000-0000-0000ED020000}"/>
    <cellStyle name="40% - Accent1 4 2" xfId="396" xr:uid="{00000000-0005-0000-0000-0000EE020000}"/>
    <cellStyle name="40% - Accent1 4 2 2" xfId="397" xr:uid="{00000000-0005-0000-0000-0000EF020000}"/>
    <cellStyle name="40% - Accent1 4 3" xfId="398" xr:uid="{00000000-0005-0000-0000-0000F0020000}"/>
    <cellStyle name="40% - Accent1 5" xfId="399" xr:uid="{00000000-0005-0000-0000-0000F1020000}"/>
    <cellStyle name="40% - Accent1 5 2" xfId="400" xr:uid="{00000000-0005-0000-0000-0000F2020000}"/>
    <cellStyle name="40% - Accent1 5 2 2" xfId="401" xr:uid="{00000000-0005-0000-0000-0000F3020000}"/>
    <cellStyle name="40% - Accent1 5 3" xfId="402" xr:uid="{00000000-0005-0000-0000-0000F4020000}"/>
    <cellStyle name="40% - Accent1 6" xfId="403" xr:uid="{00000000-0005-0000-0000-0000F5020000}"/>
    <cellStyle name="40% - Accent1 6 2" xfId="404" xr:uid="{00000000-0005-0000-0000-0000F6020000}"/>
    <cellStyle name="40% - Accent1 6 2 2" xfId="405" xr:uid="{00000000-0005-0000-0000-0000F7020000}"/>
    <cellStyle name="40% - Accent1 6 3" xfId="406" xr:uid="{00000000-0005-0000-0000-0000F8020000}"/>
    <cellStyle name="40% - Accent1 7" xfId="407" xr:uid="{00000000-0005-0000-0000-0000F9020000}"/>
    <cellStyle name="40% - Accent1 7 2" xfId="408" xr:uid="{00000000-0005-0000-0000-0000FA020000}"/>
    <cellStyle name="40% - Accent1 7 2 2" xfId="409" xr:uid="{00000000-0005-0000-0000-0000FB020000}"/>
    <cellStyle name="40% - Accent1 7 3" xfId="410" xr:uid="{00000000-0005-0000-0000-0000FC020000}"/>
    <cellStyle name="40% - Accent1 8" xfId="411" xr:uid="{00000000-0005-0000-0000-0000FD020000}"/>
    <cellStyle name="40% - Accent1 8 2" xfId="412" xr:uid="{00000000-0005-0000-0000-0000FE020000}"/>
    <cellStyle name="40% - Accent1 8 2 2" xfId="413" xr:uid="{00000000-0005-0000-0000-0000FF020000}"/>
    <cellStyle name="40% - Accent1 8 3" xfId="414" xr:uid="{00000000-0005-0000-0000-000000030000}"/>
    <cellStyle name="40% - Accent1 9" xfId="415" xr:uid="{00000000-0005-0000-0000-000001030000}"/>
    <cellStyle name="40% - Accent2 10" xfId="416" xr:uid="{00000000-0005-0000-0000-000002030000}"/>
    <cellStyle name="40% - Accent2 2" xfId="417" xr:uid="{00000000-0005-0000-0000-000003030000}"/>
    <cellStyle name="40% - Accent2 2 10" xfId="418" xr:uid="{00000000-0005-0000-0000-000004030000}"/>
    <cellStyle name="40% - Accent2 2 2" xfId="419" xr:uid="{00000000-0005-0000-0000-000005030000}"/>
    <cellStyle name="40% - Accent2 2 2 2" xfId="420" xr:uid="{00000000-0005-0000-0000-000006030000}"/>
    <cellStyle name="40% - Accent2 2 2 2 2" xfId="421" xr:uid="{00000000-0005-0000-0000-000007030000}"/>
    <cellStyle name="40% - Accent2 2 2 3" xfId="422" xr:uid="{00000000-0005-0000-0000-000008030000}"/>
    <cellStyle name="40% - Accent2 2 3" xfId="423" xr:uid="{00000000-0005-0000-0000-000009030000}"/>
    <cellStyle name="40% - Accent2 2 3 2" xfId="424" xr:uid="{00000000-0005-0000-0000-00000A030000}"/>
    <cellStyle name="40% - Accent2 2 3 2 2" xfId="425" xr:uid="{00000000-0005-0000-0000-00000B030000}"/>
    <cellStyle name="40% - Accent2 2 3 3" xfId="426" xr:uid="{00000000-0005-0000-0000-00000C030000}"/>
    <cellStyle name="40% - Accent2 2 4" xfId="427" xr:uid="{00000000-0005-0000-0000-00000D030000}"/>
    <cellStyle name="40% - Accent2 2 4 2" xfId="428" xr:uid="{00000000-0005-0000-0000-00000E030000}"/>
    <cellStyle name="40% - Accent2 2 4 2 2" xfId="429" xr:uid="{00000000-0005-0000-0000-00000F030000}"/>
    <cellStyle name="40% - Accent2 2 4 3" xfId="430" xr:uid="{00000000-0005-0000-0000-000010030000}"/>
    <cellStyle name="40% - Accent2 2 5" xfId="431" xr:uid="{00000000-0005-0000-0000-000011030000}"/>
    <cellStyle name="40% - Accent2 2 5 2" xfId="432" xr:uid="{00000000-0005-0000-0000-000012030000}"/>
    <cellStyle name="40% - Accent2 2 5 2 2" xfId="433" xr:uid="{00000000-0005-0000-0000-000013030000}"/>
    <cellStyle name="40% - Accent2 2 5 3" xfId="434" xr:uid="{00000000-0005-0000-0000-000014030000}"/>
    <cellStyle name="40% - Accent2 2 6" xfId="435" xr:uid="{00000000-0005-0000-0000-000015030000}"/>
    <cellStyle name="40% - Accent2 2 6 2" xfId="436" xr:uid="{00000000-0005-0000-0000-000016030000}"/>
    <cellStyle name="40% - Accent2 2 6 2 2" xfId="437" xr:uid="{00000000-0005-0000-0000-000017030000}"/>
    <cellStyle name="40% - Accent2 2 6 3" xfId="438" xr:uid="{00000000-0005-0000-0000-000018030000}"/>
    <cellStyle name="40% - Accent2 2 7" xfId="439" xr:uid="{00000000-0005-0000-0000-000019030000}"/>
    <cellStyle name="40% - Accent2 2 7 2" xfId="440" xr:uid="{00000000-0005-0000-0000-00001A030000}"/>
    <cellStyle name="40% - Accent2 2 7 2 2" xfId="441" xr:uid="{00000000-0005-0000-0000-00001B030000}"/>
    <cellStyle name="40% - Accent2 2 7 3" xfId="442" xr:uid="{00000000-0005-0000-0000-00001C030000}"/>
    <cellStyle name="40% - Accent2 2 8" xfId="443" xr:uid="{00000000-0005-0000-0000-00001D030000}"/>
    <cellStyle name="40% - Accent2 2 8 2" xfId="444" xr:uid="{00000000-0005-0000-0000-00001E030000}"/>
    <cellStyle name="40% - Accent2 2 8 2 2" xfId="445" xr:uid="{00000000-0005-0000-0000-00001F030000}"/>
    <cellStyle name="40% - Accent2 2 8 3" xfId="446" xr:uid="{00000000-0005-0000-0000-000020030000}"/>
    <cellStyle name="40% - Accent2 2 9" xfId="447" xr:uid="{00000000-0005-0000-0000-000021030000}"/>
    <cellStyle name="40% - Accent2 2 9 2" xfId="448" xr:uid="{00000000-0005-0000-0000-000022030000}"/>
    <cellStyle name="40% - Accent2 3" xfId="449" xr:uid="{00000000-0005-0000-0000-000023030000}"/>
    <cellStyle name="40% - Accent2 3 2" xfId="450" xr:uid="{00000000-0005-0000-0000-000024030000}"/>
    <cellStyle name="40% - Accent2 3 2 2" xfId="451" xr:uid="{00000000-0005-0000-0000-000025030000}"/>
    <cellStyle name="40% - Accent2 3 3" xfId="452" xr:uid="{00000000-0005-0000-0000-000026030000}"/>
    <cellStyle name="40% - Accent2 4" xfId="453" xr:uid="{00000000-0005-0000-0000-000027030000}"/>
    <cellStyle name="40% - Accent2 4 2" xfId="454" xr:uid="{00000000-0005-0000-0000-000028030000}"/>
    <cellStyle name="40% - Accent2 4 2 2" xfId="455" xr:uid="{00000000-0005-0000-0000-000029030000}"/>
    <cellStyle name="40% - Accent2 4 3" xfId="456" xr:uid="{00000000-0005-0000-0000-00002A030000}"/>
    <cellStyle name="40% - Accent2 5" xfId="457" xr:uid="{00000000-0005-0000-0000-00002B030000}"/>
    <cellStyle name="40% - Accent2 5 2" xfId="458" xr:uid="{00000000-0005-0000-0000-00002C030000}"/>
    <cellStyle name="40% - Accent2 5 2 2" xfId="459" xr:uid="{00000000-0005-0000-0000-00002D030000}"/>
    <cellStyle name="40% - Accent2 5 3" xfId="460" xr:uid="{00000000-0005-0000-0000-00002E030000}"/>
    <cellStyle name="40% - Accent2 6" xfId="461" xr:uid="{00000000-0005-0000-0000-00002F030000}"/>
    <cellStyle name="40% - Accent2 6 2" xfId="462" xr:uid="{00000000-0005-0000-0000-000030030000}"/>
    <cellStyle name="40% - Accent2 6 2 2" xfId="463" xr:uid="{00000000-0005-0000-0000-000031030000}"/>
    <cellStyle name="40% - Accent2 6 3" xfId="464" xr:uid="{00000000-0005-0000-0000-000032030000}"/>
    <cellStyle name="40% - Accent2 7" xfId="465" xr:uid="{00000000-0005-0000-0000-000033030000}"/>
    <cellStyle name="40% - Accent2 7 2" xfId="466" xr:uid="{00000000-0005-0000-0000-000034030000}"/>
    <cellStyle name="40% - Accent2 7 2 2" xfId="467" xr:uid="{00000000-0005-0000-0000-000035030000}"/>
    <cellStyle name="40% - Accent2 7 3" xfId="468" xr:uid="{00000000-0005-0000-0000-000036030000}"/>
    <cellStyle name="40% - Accent2 8" xfId="469" xr:uid="{00000000-0005-0000-0000-000037030000}"/>
    <cellStyle name="40% - Accent2 8 2" xfId="470" xr:uid="{00000000-0005-0000-0000-000038030000}"/>
    <cellStyle name="40% - Accent2 8 2 2" xfId="471" xr:uid="{00000000-0005-0000-0000-000039030000}"/>
    <cellStyle name="40% - Accent2 8 3" xfId="472" xr:uid="{00000000-0005-0000-0000-00003A030000}"/>
    <cellStyle name="40% - Accent2 9" xfId="473" xr:uid="{00000000-0005-0000-0000-00003B030000}"/>
    <cellStyle name="40% - Accent3 10" xfId="474" xr:uid="{00000000-0005-0000-0000-00003C030000}"/>
    <cellStyle name="40% - Accent3 2" xfId="475" xr:uid="{00000000-0005-0000-0000-00003D030000}"/>
    <cellStyle name="40% - Accent3 2 10" xfId="476" xr:uid="{00000000-0005-0000-0000-00003E030000}"/>
    <cellStyle name="40% - Accent3 2 2" xfId="477" xr:uid="{00000000-0005-0000-0000-00003F030000}"/>
    <cellStyle name="40% - Accent3 2 2 2" xfId="478" xr:uid="{00000000-0005-0000-0000-000040030000}"/>
    <cellStyle name="40% - Accent3 2 2 2 2" xfId="479" xr:uid="{00000000-0005-0000-0000-000041030000}"/>
    <cellStyle name="40% - Accent3 2 2 3" xfId="480" xr:uid="{00000000-0005-0000-0000-000042030000}"/>
    <cellStyle name="40% - Accent3 2 3" xfId="481" xr:uid="{00000000-0005-0000-0000-000043030000}"/>
    <cellStyle name="40% - Accent3 2 3 2" xfId="482" xr:uid="{00000000-0005-0000-0000-000044030000}"/>
    <cellStyle name="40% - Accent3 2 3 2 2" xfId="483" xr:uid="{00000000-0005-0000-0000-000045030000}"/>
    <cellStyle name="40% - Accent3 2 3 3" xfId="484" xr:uid="{00000000-0005-0000-0000-000046030000}"/>
    <cellStyle name="40% - Accent3 2 4" xfId="485" xr:uid="{00000000-0005-0000-0000-000047030000}"/>
    <cellStyle name="40% - Accent3 2 4 2" xfId="486" xr:uid="{00000000-0005-0000-0000-000048030000}"/>
    <cellStyle name="40% - Accent3 2 4 2 2" xfId="487" xr:uid="{00000000-0005-0000-0000-000049030000}"/>
    <cellStyle name="40% - Accent3 2 4 3" xfId="488" xr:uid="{00000000-0005-0000-0000-00004A030000}"/>
    <cellStyle name="40% - Accent3 2 5" xfId="489" xr:uid="{00000000-0005-0000-0000-00004B030000}"/>
    <cellStyle name="40% - Accent3 2 5 2" xfId="490" xr:uid="{00000000-0005-0000-0000-00004C030000}"/>
    <cellStyle name="40% - Accent3 2 5 2 2" xfId="491" xr:uid="{00000000-0005-0000-0000-00004D030000}"/>
    <cellStyle name="40% - Accent3 2 5 3" xfId="492" xr:uid="{00000000-0005-0000-0000-00004E030000}"/>
    <cellStyle name="40% - Accent3 2 6" xfId="493" xr:uid="{00000000-0005-0000-0000-00004F030000}"/>
    <cellStyle name="40% - Accent3 2 6 2" xfId="494" xr:uid="{00000000-0005-0000-0000-000050030000}"/>
    <cellStyle name="40% - Accent3 2 6 2 2" xfId="495" xr:uid="{00000000-0005-0000-0000-000051030000}"/>
    <cellStyle name="40% - Accent3 2 6 3" xfId="496" xr:uid="{00000000-0005-0000-0000-000052030000}"/>
    <cellStyle name="40% - Accent3 2 7" xfId="497" xr:uid="{00000000-0005-0000-0000-000053030000}"/>
    <cellStyle name="40% - Accent3 2 7 2" xfId="498" xr:uid="{00000000-0005-0000-0000-000054030000}"/>
    <cellStyle name="40% - Accent3 2 7 2 2" xfId="499" xr:uid="{00000000-0005-0000-0000-000055030000}"/>
    <cellStyle name="40% - Accent3 2 7 3" xfId="500" xr:uid="{00000000-0005-0000-0000-000056030000}"/>
    <cellStyle name="40% - Accent3 2 8" xfId="501" xr:uid="{00000000-0005-0000-0000-000057030000}"/>
    <cellStyle name="40% - Accent3 2 8 2" xfId="502" xr:uid="{00000000-0005-0000-0000-000058030000}"/>
    <cellStyle name="40% - Accent3 2 8 2 2" xfId="503" xr:uid="{00000000-0005-0000-0000-000059030000}"/>
    <cellStyle name="40% - Accent3 2 8 3" xfId="504" xr:uid="{00000000-0005-0000-0000-00005A030000}"/>
    <cellStyle name="40% - Accent3 2 9" xfId="505" xr:uid="{00000000-0005-0000-0000-00005B030000}"/>
    <cellStyle name="40% - Accent3 2 9 2" xfId="506" xr:uid="{00000000-0005-0000-0000-00005C030000}"/>
    <cellStyle name="40% - Accent3 3" xfId="507" xr:uid="{00000000-0005-0000-0000-00005D030000}"/>
    <cellStyle name="40% - Accent3 3 2" xfId="508" xr:uid="{00000000-0005-0000-0000-00005E030000}"/>
    <cellStyle name="40% - Accent3 3 2 2" xfId="509" xr:uid="{00000000-0005-0000-0000-00005F030000}"/>
    <cellStyle name="40% - Accent3 3 3" xfId="510" xr:uid="{00000000-0005-0000-0000-000060030000}"/>
    <cellStyle name="40% - Accent3 4" xfId="511" xr:uid="{00000000-0005-0000-0000-000061030000}"/>
    <cellStyle name="40% - Accent3 4 2" xfId="512" xr:uid="{00000000-0005-0000-0000-000062030000}"/>
    <cellStyle name="40% - Accent3 4 2 2" xfId="513" xr:uid="{00000000-0005-0000-0000-000063030000}"/>
    <cellStyle name="40% - Accent3 4 3" xfId="514" xr:uid="{00000000-0005-0000-0000-000064030000}"/>
    <cellStyle name="40% - Accent3 5" xfId="515" xr:uid="{00000000-0005-0000-0000-000065030000}"/>
    <cellStyle name="40% - Accent3 5 2" xfId="516" xr:uid="{00000000-0005-0000-0000-000066030000}"/>
    <cellStyle name="40% - Accent3 5 2 2" xfId="517" xr:uid="{00000000-0005-0000-0000-000067030000}"/>
    <cellStyle name="40% - Accent3 5 3" xfId="518" xr:uid="{00000000-0005-0000-0000-000068030000}"/>
    <cellStyle name="40% - Accent3 6" xfId="519" xr:uid="{00000000-0005-0000-0000-000069030000}"/>
    <cellStyle name="40% - Accent3 6 2" xfId="520" xr:uid="{00000000-0005-0000-0000-00006A030000}"/>
    <cellStyle name="40% - Accent3 6 2 2" xfId="521" xr:uid="{00000000-0005-0000-0000-00006B030000}"/>
    <cellStyle name="40% - Accent3 6 3" xfId="522" xr:uid="{00000000-0005-0000-0000-00006C030000}"/>
    <cellStyle name="40% - Accent3 7" xfId="523" xr:uid="{00000000-0005-0000-0000-00006D030000}"/>
    <cellStyle name="40% - Accent3 7 2" xfId="524" xr:uid="{00000000-0005-0000-0000-00006E030000}"/>
    <cellStyle name="40% - Accent3 7 2 2" xfId="525" xr:uid="{00000000-0005-0000-0000-00006F030000}"/>
    <cellStyle name="40% - Accent3 7 3" xfId="526" xr:uid="{00000000-0005-0000-0000-000070030000}"/>
    <cellStyle name="40% - Accent3 8" xfId="527" xr:uid="{00000000-0005-0000-0000-000071030000}"/>
    <cellStyle name="40% - Accent3 8 2" xfId="528" xr:uid="{00000000-0005-0000-0000-000072030000}"/>
    <cellStyle name="40% - Accent3 8 2 2" xfId="529" xr:uid="{00000000-0005-0000-0000-000073030000}"/>
    <cellStyle name="40% - Accent3 8 3" xfId="530" xr:uid="{00000000-0005-0000-0000-000074030000}"/>
    <cellStyle name="40% - Accent3 9" xfId="531" xr:uid="{00000000-0005-0000-0000-000075030000}"/>
    <cellStyle name="40% - Accent4 10" xfId="532" xr:uid="{00000000-0005-0000-0000-000076030000}"/>
    <cellStyle name="40% - Accent4 2" xfId="533" xr:uid="{00000000-0005-0000-0000-000077030000}"/>
    <cellStyle name="40% - Accent4 2 10" xfId="534" xr:uid="{00000000-0005-0000-0000-000078030000}"/>
    <cellStyle name="40% - Accent4 2 2" xfId="535" xr:uid="{00000000-0005-0000-0000-000079030000}"/>
    <cellStyle name="40% - Accent4 2 2 2" xfId="536" xr:uid="{00000000-0005-0000-0000-00007A030000}"/>
    <cellStyle name="40% - Accent4 2 2 2 2" xfId="537" xr:uid="{00000000-0005-0000-0000-00007B030000}"/>
    <cellStyle name="40% - Accent4 2 2 3" xfId="538" xr:uid="{00000000-0005-0000-0000-00007C030000}"/>
    <cellStyle name="40% - Accent4 2 3" xfId="539" xr:uid="{00000000-0005-0000-0000-00007D030000}"/>
    <cellStyle name="40% - Accent4 2 3 2" xfId="540" xr:uid="{00000000-0005-0000-0000-00007E030000}"/>
    <cellStyle name="40% - Accent4 2 3 2 2" xfId="541" xr:uid="{00000000-0005-0000-0000-00007F030000}"/>
    <cellStyle name="40% - Accent4 2 3 3" xfId="542" xr:uid="{00000000-0005-0000-0000-000080030000}"/>
    <cellStyle name="40% - Accent4 2 4" xfId="543" xr:uid="{00000000-0005-0000-0000-000081030000}"/>
    <cellStyle name="40% - Accent4 2 4 2" xfId="544" xr:uid="{00000000-0005-0000-0000-000082030000}"/>
    <cellStyle name="40% - Accent4 2 4 2 2" xfId="545" xr:uid="{00000000-0005-0000-0000-000083030000}"/>
    <cellStyle name="40% - Accent4 2 4 3" xfId="546" xr:uid="{00000000-0005-0000-0000-000084030000}"/>
    <cellStyle name="40% - Accent4 2 5" xfId="547" xr:uid="{00000000-0005-0000-0000-000085030000}"/>
    <cellStyle name="40% - Accent4 2 5 2" xfId="548" xr:uid="{00000000-0005-0000-0000-000086030000}"/>
    <cellStyle name="40% - Accent4 2 5 2 2" xfId="549" xr:uid="{00000000-0005-0000-0000-000087030000}"/>
    <cellStyle name="40% - Accent4 2 5 3" xfId="550" xr:uid="{00000000-0005-0000-0000-000088030000}"/>
    <cellStyle name="40% - Accent4 2 6" xfId="551" xr:uid="{00000000-0005-0000-0000-000089030000}"/>
    <cellStyle name="40% - Accent4 2 6 2" xfId="552" xr:uid="{00000000-0005-0000-0000-00008A030000}"/>
    <cellStyle name="40% - Accent4 2 6 2 2" xfId="553" xr:uid="{00000000-0005-0000-0000-00008B030000}"/>
    <cellStyle name="40% - Accent4 2 6 3" xfId="554" xr:uid="{00000000-0005-0000-0000-00008C030000}"/>
    <cellStyle name="40% - Accent4 2 7" xfId="555" xr:uid="{00000000-0005-0000-0000-00008D030000}"/>
    <cellStyle name="40% - Accent4 2 7 2" xfId="556" xr:uid="{00000000-0005-0000-0000-00008E030000}"/>
    <cellStyle name="40% - Accent4 2 7 2 2" xfId="557" xr:uid="{00000000-0005-0000-0000-00008F030000}"/>
    <cellStyle name="40% - Accent4 2 7 3" xfId="558" xr:uid="{00000000-0005-0000-0000-000090030000}"/>
    <cellStyle name="40% - Accent4 2 8" xfId="559" xr:uid="{00000000-0005-0000-0000-000091030000}"/>
    <cellStyle name="40% - Accent4 2 8 2" xfId="560" xr:uid="{00000000-0005-0000-0000-000092030000}"/>
    <cellStyle name="40% - Accent4 2 8 2 2" xfId="561" xr:uid="{00000000-0005-0000-0000-000093030000}"/>
    <cellStyle name="40% - Accent4 2 8 3" xfId="562" xr:uid="{00000000-0005-0000-0000-000094030000}"/>
    <cellStyle name="40% - Accent4 2 9" xfId="563" xr:uid="{00000000-0005-0000-0000-000095030000}"/>
    <cellStyle name="40% - Accent4 2 9 2" xfId="564" xr:uid="{00000000-0005-0000-0000-000096030000}"/>
    <cellStyle name="40% - Accent4 3" xfId="565" xr:uid="{00000000-0005-0000-0000-000097030000}"/>
    <cellStyle name="40% - Accent4 3 2" xfId="566" xr:uid="{00000000-0005-0000-0000-000098030000}"/>
    <cellStyle name="40% - Accent4 3 2 2" xfId="567" xr:uid="{00000000-0005-0000-0000-000099030000}"/>
    <cellStyle name="40% - Accent4 3 3" xfId="568" xr:uid="{00000000-0005-0000-0000-00009A030000}"/>
    <cellStyle name="40% - Accent4 4" xfId="569" xr:uid="{00000000-0005-0000-0000-00009B030000}"/>
    <cellStyle name="40% - Accent4 4 2" xfId="570" xr:uid="{00000000-0005-0000-0000-00009C030000}"/>
    <cellStyle name="40% - Accent4 4 2 2" xfId="571" xr:uid="{00000000-0005-0000-0000-00009D030000}"/>
    <cellStyle name="40% - Accent4 4 3" xfId="572" xr:uid="{00000000-0005-0000-0000-00009E030000}"/>
    <cellStyle name="40% - Accent4 5" xfId="573" xr:uid="{00000000-0005-0000-0000-00009F030000}"/>
    <cellStyle name="40% - Accent4 5 2" xfId="574" xr:uid="{00000000-0005-0000-0000-0000A0030000}"/>
    <cellStyle name="40% - Accent4 5 2 2" xfId="575" xr:uid="{00000000-0005-0000-0000-0000A1030000}"/>
    <cellStyle name="40% - Accent4 5 3" xfId="576" xr:uid="{00000000-0005-0000-0000-0000A2030000}"/>
    <cellStyle name="40% - Accent4 6" xfId="577" xr:uid="{00000000-0005-0000-0000-0000A3030000}"/>
    <cellStyle name="40% - Accent4 6 2" xfId="578" xr:uid="{00000000-0005-0000-0000-0000A4030000}"/>
    <cellStyle name="40% - Accent4 6 2 2" xfId="579" xr:uid="{00000000-0005-0000-0000-0000A5030000}"/>
    <cellStyle name="40% - Accent4 6 3" xfId="580" xr:uid="{00000000-0005-0000-0000-0000A6030000}"/>
    <cellStyle name="40% - Accent4 7" xfId="581" xr:uid="{00000000-0005-0000-0000-0000A7030000}"/>
    <cellStyle name="40% - Accent4 7 2" xfId="582" xr:uid="{00000000-0005-0000-0000-0000A8030000}"/>
    <cellStyle name="40% - Accent4 7 2 2" xfId="583" xr:uid="{00000000-0005-0000-0000-0000A9030000}"/>
    <cellStyle name="40% - Accent4 7 3" xfId="584" xr:uid="{00000000-0005-0000-0000-0000AA030000}"/>
    <cellStyle name="40% - Accent4 8" xfId="585" xr:uid="{00000000-0005-0000-0000-0000AB030000}"/>
    <cellStyle name="40% - Accent4 8 2" xfId="586" xr:uid="{00000000-0005-0000-0000-0000AC030000}"/>
    <cellStyle name="40% - Accent4 8 2 2" xfId="587" xr:uid="{00000000-0005-0000-0000-0000AD030000}"/>
    <cellStyle name="40% - Accent4 8 3" xfId="588" xr:uid="{00000000-0005-0000-0000-0000AE030000}"/>
    <cellStyle name="40% - Accent4 9" xfId="589" xr:uid="{00000000-0005-0000-0000-0000AF030000}"/>
    <cellStyle name="40% - Accent5 10" xfId="590" xr:uid="{00000000-0005-0000-0000-0000B0030000}"/>
    <cellStyle name="40% - Accent5 2" xfId="591" xr:uid="{00000000-0005-0000-0000-0000B1030000}"/>
    <cellStyle name="40% - Accent5 2 10" xfId="592" xr:uid="{00000000-0005-0000-0000-0000B2030000}"/>
    <cellStyle name="40% - Accent5 2 2" xfId="593" xr:uid="{00000000-0005-0000-0000-0000B3030000}"/>
    <cellStyle name="40% - Accent5 2 2 2" xfId="594" xr:uid="{00000000-0005-0000-0000-0000B4030000}"/>
    <cellStyle name="40% - Accent5 2 2 2 2" xfId="595" xr:uid="{00000000-0005-0000-0000-0000B5030000}"/>
    <cellStyle name="40% - Accent5 2 2 3" xfId="596" xr:uid="{00000000-0005-0000-0000-0000B6030000}"/>
    <cellStyle name="40% - Accent5 2 3" xfId="597" xr:uid="{00000000-0005-0000-0000-0000B7030000}"/>
    <cellStyle name="40% - Accent5 2 3 2" xfId="598" xr:uid="{00000000-0005-0000-0000-0000B8030000}"/>
    <cellStyle name="40% - Accent5 2 3 2 2" xfId="599" xr:uid="{00000000-0005-0000-0000-0000B9030000}"/>
    <cellStyle name="40% - Accent5 2 3 3" xfId="600" xr:uid="{00000000-0005-0000-0000-0000BA030000}"/>
    <cellStyle name="40% - Accent5 2 4" xfId="601" xr:uid="{00000000-0005-0000-0000-0000BB030000}"/>
    <cellStyle name="40% - Accent5 2 4 2" xfId="602" xr:uid="{00000000-0005-0000-0000-0000BC030000}"/>
    <cellStyle name="40% - Accent5 2 4 2 2" xfId="603" xr:uid="{00000000-0005-0000-0000-0000BD030000}"/>
    <cellStyle name="40% - Accent5 2 4 3" xfId="604" xr:uid="{00000000-0005-0000-0000-0000BE030000}"/>
    <cellStyle name="40% - Accent5 2 5" xfId="605" xr:uid="{00000000-0005-0000-0000-0000BF030000}"/>
    <cellStyle name="40% - Accent5 2 5 2" xfId="606" xr:uid="{00000000-0005-0000-0000-0000C0030000}"/>
    <cellStyle name="40% - Accent5 2 5 2 2" xfId="607" xr:uid="{00000000-0005-0000-0000-0000C1030000}"/>
    <cellStyle name="40% - Accent5 2 5 3" xfId="608" xr:uid="{00000000-0005-0000-0000-0000C2030000}"/>
    <cellStyle name="40% - Accent5 2 6" xfId="609" xr:uid="{00000000-0005-0000-0000-0000C3030000}"/>
    <cellStyle name="40% - Accent5 2 6 2" xfId="610" xr:uid="{00000000-0005-0000-0000-0000C4030000}"/>
    <cellStyle name="40% - Accent5 2 6 2 2" xfId="611" xr:uid="{00000000-0005-0000-0000-0000C5030000}"/>
    <cellStyle name="40% - Accent5 2 6 3" xfId="612" xr:uid="{00000000-0005-0000-0000-0000C6030000}"/>
    <cellStyle name="40% - Accent5 2 7" xfId="613" xr:uid="{00000000-0005-0000-0000-0000C7030000}"/>
    <cellStyle name="40% - Accent5 2 7 2" xfId="614" xr:uid="{00000000-0005-0000-0000-0000C8030000}"/>
    <cellStyle name="40% - Accent5 2 7 2 2" xfId="615" xr:uid="{00000000-0005-0000-0000-0000C9030000}"/>
    <cellStyle name="40% - Accent5 2 7 3" xfId="616" xr:uid="{00000000-0005-0000-0000-0000CA030000}"/>
    <cellStyle name="40% - Accent5 2 8" xfId="617" xr:uid="{00000000-0005-0000-0000-0000CB030000}"/>
    <cellStyle name="40% - Accent5 2 8 2" xfId="618" xr:uid="{00000000-0005-0000-0000-0000CC030000}"/>
    <cellStyle name="40% - Accent5 2 8 2 2" xfId="619" xr:uid="{00000000-0005-0000-0000-0000CD030000}"/>
    <cellStyle name="40% - Accent5 2 8 3" xfId="620" xr:uid="{00000000-0005-0000-0000-0000CE030000}"/>
    <cellStyle name="40% - Accent5 2 9" xfId="621" xr:uid="{00000000-0005-0000-0000-0000CF030000}"/>
    <cellStyle name="40% - Accent5 2 9 2" xfId="622" xr:uid="{00000000-0005-0000-0000-0000D0030000}"/>
    <cellStyle name="40% - Accent5 3" xfId="623" xr:uid="{00000000-0005-0000-0000-0000D1030000}"/>
    <cellStyle name="40% - Accent5 3 2" xfId="624" xr:uid="{00000000-0005-0000-0000-0000D2030000}"/>
    <cellStyle name="40% - Accent5 3 2 2" xfId="625" xr:uid="{00000000-0005-0000-0000-0000D3030000}"/>
    <cellStyle name="40% - Accent5 3 3" xfId="626" xr:uid="{00000000-0005-0000-0000-0000D4030000}"/>
    <cellStyle name="40% - Accent5 4" xfId="627" xr:uid="{00000000-0005-0000-0000-0000D5030000}"/>
    <cellStyle name="40% - Accent5 4 2" xfId="628" xr:uid="{00000000-0005-0000-0000-0000D6030000}"/>
    <cellStyle name="40% - Accent5 4 2 2" xfId="629" xr:uid="{00000000-0005-0000-0000-0000D7030000}"/>
    <cellStyle name="40% - Accent5 4 3" xfId="630" xr:uid="{00000000-0005-0000-0000-0000D8030000}"/>
    <cellStyle name="40% - Accent5 5" xfId="631" xr:uid="{00000000-0005-0000-0000-0000D9030000}"/>
    <cellStyle name="40% - Accent5 5 2" xfId="632" xr:uid="{00000000-0005-0000-0000-0000DA030000}"/>
    <cellStyle name="40% - Accent5 5 2 2" xfId="633" xr:uid="{00000000-0005-0000-0000-0000DB030000}"/>
    <cellStyle name="40% - Accent5 5 3" xfId="634" xr:uid="{00000000-0005-0000-0000-0000DC030000}"/>
    <cellStyle name="40% - Accent5 6" xfId="635" xr:uid="{00000000-0005-0000-0000-0000DD030000}"/>
    <cellStyle name="40% - Accent5 6 2" xfId="636" xr:uid="{00000000-0005-0000-0000-0000DE030000}"/>
    <cellStyle name="40% - Accent5 6 2 2" xfId="637" xr:uid="{00000000-0005-0000-0000-0000DF030000}"/>
    <cellStyle name="40% - Accent5 6 3" xfId="638" xr:uid="{00000000-0005-0000-0000-0000E0030000}"/>
    <cellStyle name="40% - Accent5 7" xfId="639" xr:uid="{00000000-0005-0000-0000-0000E1030000}"/>
    <cellStyle name="40% - Accent5 7 2" xfId="640" xr:uid="{00000000-0005-0000-0000-0000E2030000}"/>
    <cellStyle name="40% - Accent5 7 2 2" xfId="641" xr:uid="{00000000-0005-0000-0000-0000E3030000}"/>
    <cellStyle name="40% - Accent5 7 3" xfId="642" xr:uid="{00000000-0005-0000-0000-0000E4030000}"/>
    <cellStyle name="40% - Accent5 8" xfId="643" xr:uid="{00000000-0005-0000-0000-0000E5030000}"/>
    <cellStyle name="40% - Accent5 8 2" xfId="644" xr:uid="{00000000-0005-0000-0000-0000E6030000}"/>
    <cellStyle name="40% - Accent5 8 2 2" xfId="645" xr:uid="{00000000-0005-0000-0000-0000E7030000}"/>
    <cellStyle name="40% - Accent5 8 3" xfId="646" xr:uid="{00000000-0005-0000-0000-0000E8030000}"/>
    <cellStyle name="40% - Accent5 9" xfId="647" xr:uid="{00000000-0005-0000-0000-0000E9030000}"/>
    <cellStyle name="40% - Accent6 10" xfId="648" xr:uid="{00000000-0005-0000-0000-0000EA030000}"/>
    <cellStyle name="40% - Accent6 2" xfId="649" xr:uid="{00000000-0005-0000-0000-0000EB030000}"/>
    <cellStyle name="40% - Accent6 2 10" xfId="650" xr:uid="{00000000-0005-0000-0000-0000EC030000}"/>
    <cellStyle name="40% - Accent6 2 2" xfId="651" xr:uid="{00000000-0005-0000-0000-0000ED030000}"/>
    <cellStyle name="40% - Accent6 2 2 2" xfId="652" xr:uid="{00000000-0005-0000-0000-0000EE030000}"/>
    <cellStyle name="40% - Accent6 2 2 2 2" xfId="653" xr:uid="{00000000-0005-0000-0000-0000EF030000}"/>
    <cellStyle name="40% - Accent6 2 2 3" xfId="654" xr:uid="{00000000-0005-0000-0000-0000F0030000}"/>
    <cellStyle name="40% - Accent6 2 3" xfId="655" xr:uid="{00000000-0005-0000-0000-0000F1030000}"/>
    <cellStyle name="40% - Accent6 2 3 2" xfId="656" xr:uid="{00000000-0005-0000-0000-0000F2030000}"/>
    <cellStyle name="40% - Accent6 2 3 2 2" xfId="657" xr:uid="{00000000-0005-0000-0000-0000F3030000}"/>
    <cellStyle name="40% - Accent6 2 3 3" xfId="658" xr:uid="{00000000-0005-0000-0000-0000F4030000}"/>
    <cellStyle name="40% - Accent6 2 4" xfId="659" xr:uid="{00000000-0005-0000-0000-0000F5030000}"/>
    <cellStyle name="40% - Accent6 2 4 2" xfId="660" xr:uid="{00000000-0005-0000-0000-0000F6030000}"/>
    <cellStyle name="40% - Accent6 2 4 2 2" xfId="661" xr:uid="{00000000-0005-0000-0000-0000F7030000}"/>
    <cellStyle name="40% - Accent6 2 4 3" xfId="662" xr:uid="{00000000-0005-0000-0000-0000F8030000}"/>
    <cellStyle name="40% - Accent6 2 5" xfId="663" xr:uid="{00000000-0005-0000-0000-0000F9030000}"/>
    <cellStyle name="40% - Accent6 2 5 2" xfId="664" xr:uid="{00000000-0005-0000-0000-0000FA030000}"/>
    <cellStyle name="40% - Accent6 2 5 2 2" xfId="665" xr:uid="{00000000-0005-0000-0000-0000FB030000}"/>
    <cellStyle name="40% - Accent6 2 5 3" xfId="666" xr:uid="{00000000-0005-0000-0000-0000FC030000}"/>
    <cellStyle name="40% - Accent6 2 6" xfId="667" xr:uid="{00000000-0005-0000-0000-0000FD030000}"/>
    <cellStyle name="40% - Accent6 2 6 2" xfId="668" xr:uid="{00000000-0005-0000-0000-0000FE030000}"/>
    <cellStyle name="40% - Accent6 2 6 2 2" xfId="669" xr:uid="{00000000-0005-0000-0000-0000FF030000}"/>
    <cellStyle name="40% - Accent6 2 6 3" xfId="670" xr:uid="{00000000-0005-0000-0000-000000040000}"/>
    <cellStyle name="40% - Accent6 2 7" xfId="671" xr:uid="{00000000-0005-0000-0000-000001040000}"/>
    <cellStyle name="40% - Accent6 2 7 2" xfId="672" xr:uid="{00000000-0005-0000-0000-000002040000}"/>
    <cellStyle name="40% - Accent6 2 7 2 2" xfId="673" xr:uid="{00000000-0005-0000-0000-000003040000}"/>
    <cellStyle name="40% - Accent6 2 7 3" xfId="674" xr:uid="{00000000-0005-0000-0000-000004040000}"/>
    <cellStyle name="40% - Accent6 2 8" xfId="675" xr:uid="{00000000-0005-0000-0000-000005040000}"/>
    <cellStyle name="40% - Accent6 2 8 2" xfId="676" xr:uid="{00000000-0005-0000-0000-000006040000}"/>
    <cellStyle name="40% - Accent6 2 8 2 2" xfId="677" xr:uid="{00000000-0005-0000-0000-000007040000}"/>
    <cellStyle name="40% - Accent6 2 8 3" xfId="678" xr:uid="{00000000-0005-0000-0000-000008040000}"/>
    <cellStyle name="40% - Accent6 2 9" xfId="679" xr:uid="{00000000-0005-0000-0000-000009040000}"/>
    <cellStyle name="40% - Accent6 2 9 2" xfId="680" xr:uid="{00000000-0005-0000-0000-00000A040000}"/>
    <cellStyle name="40% - Accent6 3" xfId="681" xr:uid="{00000000-0005-0000-0000-00000B040000}"/>
    <cellStyle name="40% - Accent6 3 2" xfId="682" xr:uid="{00000000-0005-0000-0000-00000C040000}"/>
    <cellStyle name="40% - Accent6 3 2 2" xfId="683" xr:uid="{00000000-0005-0000-0000-00000D040000}"/>
    <cellStyle name="40% - Accent6 3 3" xfId="684" xr:uid="{00000000-0005-0000-0000-00000E040000}"/>
    <cellStyle name="40% - Accent6 4" xfId="685" xr:uid="{00000000-0005-0000-0000-00000F040000}"/>
    <cellStyle name="40% - Accent6 4 2" xfId="686" xr:uid="{00000000-0005-0000-0000-000010040000}"/>
    <cellStyle name="40% - Accent6 4 2 2" xfId="687" xr:uid="{00000000-0005-0000-0000-000011040000}"/>
    <cellStyle name="40% - Accent6 4 3" xfId="688" xr:uid="{00000000-0005-0000-0000-000012040000}"/>
    <cellStyle name="40% - Accent6 5" xfId="689" xr:uid="{00000000-0005-0000-0000-000013040000}"/>
    <cellStyle name="40% - Accent6 5 2" xfId="690" xr:uid="{00000000-0005-0000-0000-000014040000}"/>
    <cellStyle name="40% - Accent6 5 2 2" xfId="691" xr:uid="{00000000-0005-0000-0000-000015040000}"/>
    <cellStyle name="40% - Accent6 5 3" xfId="692" xr:uid="{00000000-0005-0000-0000-000016040000}"/>
    <cellStyle name="40% - Accent6 6" xfId="693" xr:uid="{00000000-0005-0000-0000-000017040000}"/>
    <cellStyle name="40% - Accent6 6 2" xfId="694" xr:uid="{00000000-0005-0000-0000-000018040000}"/>
    <cellStyle name="40% - Accent6 6 2 2" xfId="695" xr:uid="{00000000-0005-0000-0000-000019040000}"/>
    <cellStyle name="40% - Accent6 6 3" xfId="696" xr:uid="{00000000-0005-0000-0000-00001A040000}"/>
    <cellStyle name="40% - Accent6 7" xfId="697" xr:uid="{00000000-0005-0000-0000-00001B040000}"/>
    <cellStyle name="40% - Accent6 7 2" xfId="698" xr:uid="{00000000-0005-0000-0000-00001C040000}"/>
    <cellStyle name="40% - Accent6 7 2 2" xfId="699" xr:uid="{00000000-0005-0000-0000-00001D040000}"/>
    <cellStyle name="40% - Accent6 7 3" xfId="700" xr:uid="{00000000-0005-0000-0000-00001E040000}"/>
    <cellStyle name="40% - Accent6 8" xfId="701" xr:uid="{00000000-0005-0000-0000-00001F040000}"/>
    <cellStyle name="40% - Accent6 8 2" xfId="702" xr:uid="{00000000-0005-0000-0000-000020040000}"/>
    <cellStyle name="40% - Accent6 8 2 2" xfId="703" xr:uid="{00000000-0005-0000-0000-000021040000}"/>
    <cellStyle name="40% - Accent6 8 3" xfId="704" xr:uid="{00000000-0005-0000-0000-000022040000}"/>
    <cellStyle name="40% - Accent6 9" xfId="705" xr:uid="{00000000-0005-0000-0000-000023040000}"/>
    <cellStyle name="5x indented GHG Textfiels" xfId="706" xr:uid="{00000000-0005-0000-0000-000024040000}"/>
    <cellStyle name="5x indented GHG Textfiels 2" xfId="1298" xr:uid="{00000000-0005-0000-0000-000025040000}"/>
    <cellStyle name="5x indented GHG Textfiels 2 10" xfId="5311" xr:uid="{00000000-0005-0000-0000-000026040000}"/>
    <cellStyle name="5x indented GHG Textfiels 2 2" xfId="1382" xr:uid="{00000000-0005-0000-0000-000027040000}"/>
    <cellStyle name="5x indented GHG Textfiels 2 2 2" xfId="1886" xr:uid="{00000000-0005-0000-0000-000028040000}"/>
    <cellStyle name="5x indented GHG Textfiels 2 2 2 2" xfId="3966" xr:uid="{00000000-0005-0000-0000-000029040000}"/>
    <cellStyle name="5x indented GHG Textfiels 2 2 2 2 2" xfId="14299" xr:uid="{00000000-0005-0000-0000-00002A040000}"/>
    <cellStyle name="5x indented GHG Textfiels 2 2 2 2 2 2" xfId="20216" xr:uid="{00000000-0005-0000-0000-00002B040000}"/>
    <cellStyle name="5x indented GHG Textfiels 2 2 2 2 2 3" xfId="29131" xr:uid="{00000000-0005-0000-0000-00002C040000}"/>
    <cellStyle name="5x indented GHG Textfiels 2 2 2 2 3" xfId="11068" xr:uid="{00000000-0005-0000-0000-00002D040000}"/>
    <cellStyle name="5x indented GHG Textfiels 2 2 2 2 3 2" xfId="20189" xr:uid="{00000000-0005-0000-0000-00002E040000}"/>
    <cellStyle name="5x indented GHG Textfiels 2 2 2 2 3 3" xfId="25900" xr:uid="{00000000-0005-0000-0000-00002F040000}"/>
    <cellStyle name="5x indented GHG Textfiels 2 2 2 2 4" xfId="21450" xr:uid="{00000000-0005-0000-0000-000030040000}"/>
    <cellStyle name="5x indented GHG Textfiels 2 2 2 3" xfId="4292" xr:uid="{00000000-0005-0000-0000-000031040000}"/>
    <cellStyle name="5x indented GHG Textfiels 2 2 2 3 2" xfId="8331" xr:uid="{00000000-0005-0000-0000-000032040000}"/>
    <cellStyle name="5x indented GHG Textfiels 2 2 2 3 2 2" xfId="17612" xr:uid="{00000000-0005-0000-0000-000033040000}"/>
    <cellStyle name="5x indented GHG Textfiels 2 2 2 3 2 2 2" xfId="20235" xr:uid="{00000000-0005-0000-0000-000034040000}"/>
    <cellStyle name="5x indented GHG Textfiels 2 2 2 3 2 2 3" xfId="32444" xr:uid="{00000000-0005-0000-0000-000035040000}"/>
    <cellStyle name="5x indented GHG Textfiels 2 2 2 3 2 3" xfId="24019" xr:uid="{00000000-0005-0000-0000-000036040000}"/>
    <cellStyle name="5x indented GHG Textfiels 2 2 2 4" xfId="4864" xr:uid="{00000000-0005-0000-0000-000037040000}"/>
    <cellStyle name="5x indented GHG Textfiels 2 2 2 4 2" xfId="8903" xr:uid="{00000000-0005-0000-0000-000038040000}"/>
    <cellStyle name="5x indented GHG Textfiels 2 2 2 4 2 2" xfId="17943" xr:uid="{00000000-0005-0000-0000-000039040000}"/>
    <cellStyle name="5x indented GHG Textfiels 2 2 2 4 2 2 2" xfId="20243" xr:uid="{00000000-0005-0000-0000-00003A040000}"/>
    <cellStyle name="5x indented GHG Textfiels 2 2 2 4 2 2 3" xfId="32775" xr:uid="{00000000-0005-0000-0000-00003B040000}"/>
    <cellStyle name="5x indented GHG Textfiels 2 2 2 4 2 3" xfId="24369" xr:uid="{00000000-0005-0000-0000-00003C040000}"/>
    <cellStyle name="5x indented GHG Textfiels 2 2 2 5" xfId="2854" xr:uid="{00000000-0005-0000-0000-00003D040000}"/>
    <cellStyle name="5x indented GHG Textfiels 2 2 2 5 2" xfId="13192" xr:uid="{00000000-0005-0000-0000-00003E040000}"/>
    <cellStyle name="5x indented GHG Textfiels 2 2 2 5 2 2" xfId="20203" xr:uid="{00000000-0005-0000-0000-00003F040000}"/>
    <cellStyle name="5x indented GHG Textfiels 2 2 2 5 2 3" xfId="28024" xr:uid="{00000000-0005-0000-0000-000040040000}"/>
    <cellStyle name="5x indented GHG Textfiels 2 2 2 5 3" xfId="10490" xr:uid="{00000000-0005-0000-0000-000041040000}"/>
    <cellStyle name="5x indented GHG Textfiels 2 2 2 5 3 2" xfId="20176" xr:uid="{00000000-0005-0000-0000-000042040000}"/>
    <cellStyle name="5x indented GHG Textfiels 2 2 2 5 3 3" xfId="25322" xr:uid="{00000000-0005-0000-0000-000043040000}"/>
    <cellStyle name="5x indented GHG Textfiels 2 2 2 5 4" xfId="20780" xr:uid="{00000000-0005-0000-0000-000044040000}"/>
    <cellStyle name="5x indented GHG Textfiels 2 2 3" xfId="3665" xr:uid="{00000000-0005-0000-0000-000045040000}"/>
    <cellStyle name="5x indented GHG Textfiels 2 2 3 2" xfId="14000" xr:uid="{00000000-0005-0000-0000-000046040000}"/>
    <cellStyle name="5x indented GHG Textfiels 2 2 3 2 2" xfId="20210" xr:uid="{00000000-0005-0000-0000-000047040000}"/>
    <cellStyle name="5x indented GHG Textfiels 2 2 3 2 3" xfId="28832" xr:uid="{00000000-0005-0000-0000-000048040000}"/>
    <cellStyle name="5x indented GHG Textfiels 2 2 3 3" xfId="10923" xr:uid="{00000000-0005-0000-0000-000049040000}"/>
    <cellStyle name="5x indented GHG Textfiels 2 2 3 3 2" xfId="20183" xr:uid="{00000000-0005-0000-0000-00004A040000}"/>
    <cellStyle name="5x indented GHG Textfiels 2 2 3 3 3" xfId="25755" xr:uid="{00000000-0005-0000-0000-00004B040000}"/>
    <cellStyle name="5x indented GHG Textfiels 2 2 3 4" xfId="21283" xr:uid="{00000000-0005-0000-0000-00004C040000}"/>
    <cellStyle name="5x indented GHG Textfiels 2 2 4" xfId="4444" xr:uid="{00000000-0005-0000-0000-00004D040000}"/>
    <cellStyle name="5x indented GHG Textfiels 2 2 4 2" xfId="8483" xr:uid="{00000000-0005-0000-0000-00004E040000}"/>
    <cellStyle name="5x indented GHG Textfiels 2 2 4 2 2" xfId="17703" xr:uid="{00000000-0005-0000-0000-00004F040000}"/>
    <cellStyle name="5x indented GHG Textfiels 2 2 4 2 2 2" xfId="20238" xr:uid="{00000000-0005-0000-0000-000050040000}"/>
    <cellStyle name="5x indented GHG Textfiels 2 2 4 2 2 3" xfId="32535" xr:uid="{00000000-0005-0000-0000-000051040000}"/>
    <cellStyle name="5x indented GHG Textfiels 2 2 4 2 3" xfId="24109" xr:uid="{00000000-0005-0000-0000-000052040000}"/>
    <cellStyle name="5x indented GHG Textfiels 2 2 5" xfId="2434" xr:uid="{00000000-0005-0000-0000-000053040000}"/>
    <cellStyle name="5x indented GHG Textfiels 2 2 5 2" xfId="12773" xr:uid="{00000000-0005-0000-0000-000054040000}"/>
    <cellStyle name="5x indented GHG Textfiels 2 2 5 2 2" xfId="20199" xr:uid="{00000000-0005-0000-0000-000055040000}"/>
    <cellStyle name="5x indented GHG Textfiels 2 2 5 2 3" xfId="27605" xr:uid="{00000000-0005-0000-0000-000056040000}"/>
    <cellStyle name="5x indented GHG Textfiels 2 2 5 3" xfId="10251" xr:uid="{00000000-0005-0000-0000-000057040000}"/>
    <cellStyle name="5x indented GHG Textfiels 2 2 5 3 2" xfId="20172" xr:uid="{00000000-0005-0000-0000-000058040000}"/>
    <cellStyle name="5x indented GHG Textfiels 2 2 5 3 3" xfId="25083" xr:uid="{00000000-0005-0000-0000-000059040000}"/>
    <cellStyle name="5x indented GHG Textfiels 2 2 5 4" xfId="20526" xr:uid="{00000000-0005-0000-0000-00005A040000}"/>
    <cellStyle name="5x indented GHG Textfiels 2 2 6" xfId="9479" xr:uid="{00000000-0005-0000-0000-00005B040000}"/>
    <cellStyle name="5x indented GHG Textfiels 2 3" xfId="1554" xr:uid="{00000000-0005-0000-0000-00005C040000}"/>
    <cellStyle name="5x indented GHG Textfiels 2 3 2" xfId="2051" xr:uid="{00000000-0005-0000-0000-00005D040000}"/>
    <cellStyle name="5x indented GHG Textfiels 2 3 2 2" xfId="4074" xr:uid="{00000000-0005-0000-0000-00005E040000}"/>
    <cellStyle name="5x indented GHG Textfiels 2 3 2 2 2" xfId="14406" xr:uid="{00000000-0005-0000-0000-00005F040000}"/>
    <cellStyle name="5x indented GHG Textfiels 2 3 2 2 2 2" xfId="20219" xr:uid="{00000000-0005-0000-0000-000060040000}"/>
    <cellStyle name="5x indented GHG Textfiels 2 3 2 2 2 3" xfId="29238" xr:uid="{00000000-0005-0000-0000-000061040000}"/>
    <cellStyle name="5x indented GHG Textfiels 2 3 2 2 3" xfId="11124" xr:uid="{00000000-0005-0000-0000-000062040000}"/>
    <cellStyle name="5x indented GHG Textfiels 2 3 2 2 3 2" xfId="20192" xr:uid="{00000000-0005-0000-0000-000063040000}"/>
    <cellStyle name="5x indented GHG Textfiels 2 3 2 2 3 3" xfId="25956" xr:uid="{00000000-0005-0000-0000-000064040000}"/>
    <cellStyle name="5x indented GHG Textfiels 2 3 2 2 4" xfId="21505" xr:uid="{00000000-0005-0000-0000-000065040000}"/>
    <cellStyle name="5x indented GHG Textfiels 2 3 2 3" xfId="3233" xr:uid="{00000000-0005-0000-0000-000066040000}"/>
    <cellStyle name="5x indented GHG Textfiels 2 3 2 3 2" xfId="7297" xr:uid="{00000000-0005-0000-0000-000067040000}"/>
    <cellStyle name="5x indented GHG Textfiels 2 3 2 3 2 2" xfId="17057" xr:uid="{00000000-0005-0000-0000-000068040000}"/>
    <cellStyle name="5x indented GHG Textfiels 2 3 2 3 2 2 2" xfId="20229" xr:uid="{00000000-0005-0000-0000-000069040000}"/>
    <cellStyle name="5x indented GHG Textfiels 2 3 2 3 2 2 3" xfId="31889" xr:uid="{00000000-0005-0000-0000-00006A040000}"/>
    <cellStyle name="5x indented GHG Textfiels 2 3 2 3 2 3" xfId="23337" xr:uid="{00000000-0005-0000-0000-00006B040000}"/>
    <cellStyle name="5x indented GHG Textfiels 2 3 2 4" xfId="5019" xr:uid="{00000000-0005-0000-0000-00006C040000}"/>
    <cellStyle name="5x indented GHG Textfiels 2 3 2 4 2" xfId="9058" xr:uid="{00000000-0005-0000-0000-00006D040000}"/>
    <cellStyle name="5x indented GHG Textfiels 2 3 2 4 2 2" xfId="17995" xr:uid="{00000000-0005-0000-0000-00006E040000}"/>
    <cellStyle name="5x indented GHG Textfiels 2 3 2 4 2 2 2" xfId="20245" xr:uid="{00000000-0005-0000-0000-00006F040000}"/>
    <cellStyle name="5x indented GHG Textfiels 2 3 2 4 2 2 3" xfId="32827" xr:uid="{00000000-0005-0000-0000-000070040000}"/>
    <cellStyle name="5x indented GHG Textfiels 2 3 2 4 2 3" xfId="24492" xr:uid="{00000000-0005-0000-0000-000071040000}"/>
    <cellStyle name="5x indented GHG Textfiels 2 3 2 5" xfId="3009" xr:uid="{00000000-0005-0000-0000-000072040000}"/>
    <cellStyle name="5x indented GHG Textfiels 2 3 2 5 2" xfId="13347" xr:uid="{00000000-0005-0000-0000-000073040000}"/>
    <cellStyle name="5x indented GHG Textfiels 2 3 2 5 2 2" xfId="20205" xr:uid="{00000000-0005-0000-0000-000074040000}"/>
    <cellStyle name="5x indented GHG Textfiels 2 3 2 5 2 3" xfId="28179" xr:uid="{00000000-0005-0000-0000-000075040000}"/>
    <cellStyle name="5x indented GHG Textfiels 2 3 2 5 3" xfId="10542" xr:uid="{00000000-0005-0000-0000-000076040000}"/>
    <cellStyle name="5x indented GHG Textfiels 2 3 2 5 3 2" xfId="20178" xr:uid="{00000000-0005-0000-0000-000077040000}"/>
    <cellStyle name="5x indented GHG Textfiels 2 3 2 5 3 3" xfId="25374" xr:uid="{00000000-0005-0000-0000-000078040000}"/>
    <cellStyle name="5x indented GHG Textfiels 2 3 2 5 4" xfId="20903" xr:uid="{00000000-0005-0000-0000-000079040000}"/>
    <cellStyle name="5x indented GHG Textfiels 2 3 3" xfId="3776" xr:uid="{00000000-0005-0000-0000-00007A040000}"/>
    <cellStyle name="5x indented GHG Textfiels 2 3 3 2" xfId="14111" xr:uid="{00000000-0005-0000-0000-00007B040000}"/>
    <cellStyle name="5x indented GHG Textfiels 2 3 3 2 2" xfId="20212" xr:uid="{00000000-0005-0000-0000-00007C040000}"/>
    <cellStyle name="5x indented GHG Textfiels 2 3 3 2 3" xfId="28943" xr:uid="{00000000-0005-0000-0000-00007D040000}"/>
    <cellStyle name="5x indented GHG Textfiels 2 3 3 3" xfId="10978" xr:uid="{00000000-0005-0000-0000-00007E040000}"/>
    <cellStyle name="5x indented GHG Textfiels 2 3 3 3 2" xfId="20185" xr:uid="{00000000-0005-0000-0000-00007F040000}"/>
    <cellStyle name="5x indented GHG Textfiels 2 3 3 3 3" xfId="25810" xr:uid="{00000000-0005-0000-0000-000080040000}"/>
    <cellStyle name="5x indented GHG Textfiels 2 3 3 4" xfId="21343" xr:uid="{00000000-0005-0000-0000-000081040000}"/>
    <cellStyle name="5x indented GHG Textfiels 2 3 4" xfId="4599" xr:uid="{00000000-0005-0000-0000-000082040000}"/>
    <cellStyle name="5x indented GHG Textfiels 2 3 4 2" xfId="8638" xr:uid="{00000000-0005-0000-0000-000083040000}"/>
    <cellStyle name="5x indented GHG Textfiels 2 3 4 2 2" xfId="17755" xr:uid="{00000000-0005-0000-0000-000084040000}"/>
    <cellStyle name="5x indented GHG Textfiels 2 3 4 2 2 2" xfId="20240" xr:uid="{00000000-0005-0000-0000-000085040000}"/>
    <cellStyle name="5x indented GHG Textfiels 2 3 4 2 2 3" xfId="32587" xr:uid="{00000000-0005-0000-0000-000086040000}"/>
    <cellStyle name="5x indented GHG Textfiels 2 3 4 2 3" xfId="24232" xr:uid="{00000000-0005-0000-0000-000087040000}"/>
    <cellStyle name="5x indented GHG Textfiels 2 3 5" xfId="2589" xr:uid="{00000000-0005-0000-0000-000088040000}"/>
    <cellStyle name="5x indented GHG Textfiels 2 3 5 2" xfId="12927" xr:uid="{00000000-0005-0000-0000-000089040000}"/>
    <cellStyle name="5x indented GHG Textfiels 2 3 5 2 2" xfId="20200" xr:uid="{00000000-0005-0000-0000-00008A040000}"/>
    <cellStyle name="5x indented GHG Textfiels 2 3 5 2 3" xfId="27759" xr:uid="{00000000-0005-0000-0000-00008B040000}"/>
    <cellStyle name="5x indented GHG Textfiels 2 3 5 3" xfId="10302" xr:uid="{00000000-0005-0000-0000-00008C040000}"/>
    <cellStyle name="5x indented GHG Textfiels 2 3 5 3 2" xfId="20173" xr:uid="{00000000-0005-0000-0000-00008D040000}"/>
    <cellStyle name="5x indented GHG Textfiels 2 3 5 3 3" xfId="25134" xr:uid="{00000000-0005-0000-0000-00008E040000}"/>
    <cellStyle name="5x indented GHG Textfiels 2 3 5 4" xfId="20643" xr:uid="{00000000-0005-0000-0000-00008F040000}"/>
    <cellStyle name="5x indented GHG Textfiels 2 3 6" xfId="9624" xr:uid="{00000000-0005-0000-0000-000090040000}"/>
    <cellStyle name="5x indented GHG Textfiels 2 4" xfId="1607" xr:uid="{00000000-0005-0000-0000-000091040000}"/>
    <cellStyle name="5x indented GHG Textfiels 2 4 2" xfId="2104" xr:uid="{00000000-0005-0000-0000-000092040000}"/>
    <cellStyle name="5x indented GHG Textfiels 2 4 2 2" xfId="4114" xr:uid="{00000000-0005-0000-0000-000093040000}"/>
    <cellStyle name="5x indented GHG Textfiels 2 4 2 2 2" xfId="14446" xr:uid="{00000000-0005-0000-0000-000094040000}"/>
    <cellStyle name="5x indented GHG Textfiels 2 4 2 2 2 2" xfId="20220" xr:uid="{00000000-0005-0000-0000-000095040000}"/>
    <cellStyle name="5x indented GHG Textfiels 2 4 2 2 2 3" xfId="29278" xr:uid="{00000000-0005-0000-0000-000096040000}"/>
    <cellStyle name="5x indented GHG Textfiels 2 4 2 2 3" xfId="11144" xr:uid="{00000000-0005-0000-0000-000097040000}"/>
    <cellStyle name="5x indented GHG Textfiels 2 4 2 2 3 2" xfId="20193" xr:uid="{00000000-0005-0000-0000-000098040000}"/>
    <cellStyle name="5x indented GHG Textfiels 2 4 2 2 3 3" xfId="25976" xr:uid="{00000000-0005-0000-0000-000099040000}"/>
    <cellStyle name="5x indented GHG Textfiels 2 4 2 2 4" xfId="21527" xr:uid="{00000000-0005-0000-0000-00009A040000}"/>
    <cellStyle name="5x indented GHG Textfiels 2 4 2 3" xfId="3881" xr:uid="{00000000-0005-0000-0000-00009B040000}"/>
    <cellStyle name="5x indented GHG Textfiels 2 4 2 3 2" xfId="7932" xr:uid="{00000000-0005-0000-0000-00009C040000}"/>
    <cellStyle name="5x indented GHG Textfiels 2 4 2 3 2 2" xfId="17408" xr:uid="{00000000-0005-0000-0000-00009D040000}"/>
    <cellStyle name="5x indented GHG Textfiels 2 4 2 3 2 2 2" xfId="20232" xr:uid="{00000000-0005-0000-0000-00009E040000}"/>
    <cellStyle name="5x indented GHG Textfiels 2 4 2 3 2 2 3" xfId="32240" xr:uid="{00000000-0005-0000-0000-00009F040000}"/>
    <cellStyle name="5x indented GHG Textfiels 2 4 2 3 2 3" xfId="23758" xr:uid="{00000000-0005-0000-0000-0000A0040000}"/>
    <cellStyle name="5x indented GHG Textfiels 2 4 2 4" xfId="5072" xr:uid="{00000000-0005-0000-0000-0000A1040000}"/>
    <cellStyle name="5x indented GHG Textfiels 2 4 2 4 2" xfId="9111" xr:uid="{00000000-0005-0000-0000-0000A2040000}"/>
    <cellStyle name="5x indented GHG Textfiels 2 4 2 4 2 2" xfId="18043" xr:uid="{00000000-0005-0000-0000-0000A3040000}"/>
    <cellStyle name="5x indented GHG Textfiels 2 4 2 4 2 2 2" xfId="20246" xr:uid="{00000000-0005-0000-0000-0000A4040000}"/>
    <cellStyle name="5x indented GHG Textfiels 2 4 2 4 2 2 3" xfId="32875" xr:uid="{00000000-0005-0000-0000-0000A5040000}"/>
    <cellStyle name="5x indented GHG Textfiels 2 4 2 4 2 3" xfId="24513" xr:uid="{00000000-0005-0000-0000-0000A6040000}"/>
    <cellStyle name="5x indented GHG Textfiels 2 4 2 5" xfId="3062" xr:uid="{00000000-0005-0000-0000-0000A7040000}"/>
    <cellStyle name="5x indented GHG Textfiels 2 4 2 5 2" xfId="13400" xr:uid="{00000000-0005-0000-0000-0000A8040000}"/>
    <cellStyle name="5x indented GHG Textfiels 2 4 2 5 2 2" xfId="20206" xr:uid="{00000000-0005-0000-0000-0000A9040000}"/>
    <cellStyle name="5x indented GHG Textfiels 2 4 2 5 2 3" xfId="28232" xr:uid="{00000000-0005-0000-0000-0000AA040000}"/>
    <cellStyle name="5x indented GHG Textfiels 2 4 2 5 3" xfId="10590" xr:uid="{00000000-0005-0000-0000-0000AB040000}"/>
    <cellStyle name="5x indented GHG Textfiels 2 4 2 5 3 2" xfId="20179" xr:uid="{00000000-0005-0000-0000-0000AC040000}"/>
    <cellStyle name="5x indented GHG Textfiels 2 4 2 5 3 3" xfId="25422" xr:uid="{00000000-0005-0000-0000-0000AD040000}"/>
    <cellStyle name="5x indented GHG Textfiels 2 4 2 5 4" xfId="20924" xr:uid="{00000000-0005-0000-0000-0000AE040000}"/>
    <cellStyle name="5x indented GHG Textfiels 2 4 3" xfId="3814" xr:uid="{00000000-0005-0000-0000-0000AF040000}"/>
    <cellStyle name="5x indented GHG Textfiels 2 4 3 2" xfId="14149" xr:uid="{00000000-0005-0000-0000-0000B0040000}"/>
    <cellStyle name="5x indented GHG Textfiels 2 4 3 2 2" xfId="20214" xr:uid="{00000000-0005-0000-0000-0000B1040000}"/>
    <cellStyle name="5x indented GHG Textfiels 2 4 3 2 3" xfId="28981" xr:uid="{00000000-0005-0000-0000-0000B2040000}"/>
    <cellStyle name="5x indented GHG Textfiels 2 4 3 3" xfId="10998" xr:uid="{00000000-0005-0000-0000-0000B3040000}"/>
    <cellStyle name="5x indented GHG Textfiels 2 4 3 3 2" xfId="20187" xr:uid="{00000000-0005-0000-0000-0000B4040000}"/>
    <cellStyle name="5x indented GHG Textfiels 2 4 3 3 3" xfId="25830" xr:uid="{00000000-0005-0000-0000-0000B5040000}"/>
    <cellStyle name="5x indented GHG Textfiels 2 4 3 4" xfId="21366" xr:uid="{00000000-0005-0000-0000-0000B6040000}"/>
    <cellStyle name="5x indented GHG Textfiels 2 4 4" xfId="4652" xr:uid="{00000000-0005-0000-0000-0000B7040000}"/>
    <cellStyle name="5x indented GHG Textfiels 2 4 4 2" xfId="8691" xr:uid="{00000000-0005-0000-0000-0000B8040000}"/>
    <cellStyle name="5x indented GHG Textfiels 2 4 4 2 2" xfId="17803" xr:uid="{00000000-0005-0000-0000-0000B9040000}"/>
    <cellStyle name="5x indented GHG Textfiels 2 4 4 2 2 2" xfId="20241" xr:uid="{00000000-0005-0000-0000-0000BA040000}"/>
    <cellStyle name="5x indented GHG Textfiels 2 4 4 2 2 3" xfId="32635" xr:uid="{00000000-0005-0000-0000-0000BB040000}"/>
    <cellStyle name="5x indented GHG Textfiels 2 4 4 2 3" xfId="24253" xr:uid="{00000000-0005-0000-0000-0000BC040000}"/>
    <cellStyle name="5x indented GHG Textfiels 2 4 5" xfId="2642" xr:uid="{00000000-0005-0000-0000-0000BD040000}"/>
    <cellStyle name="5x indented GHG Textfiels 2 4 5 2" xfId="12980" xr:uid="{00000000-0005-0000-0000-0000BE040000}"/>
    <cellStyle name="5x indented GHG Textfiels 2 4 5 2 2" xfId="20201" xr:uid="{00000000-0005-0000-0000-0000BF040000}"/>
    <cellStyle name="5x indented GHG Textfiels 2 4 5 2 3" xfId="27812" xr:uid="{00000000-0005-0000-0000-0000C0040000}"/>
    <cellStyle name="5x indented GHG Textfiels 2 4 5 3" xfId="10350" xr:uid="{00000000-0005-0000-0000-0000C1040000}"/>
    <cellStyle name="5x indented GHG Textfiels 2 4 5 3 2" xfId="20174" xr:uid="{00000000-0005-0000-0000-0000C2040000}"/>
    <cellStyle name="5x indented GHG Textfiels 2 4 5 3 3" xfId="25182" xr:uid="{00000000-0005-0000-0000-0000C3040000}"/>
    <cellStyle name="5x indented GHG Textfiels 2 4 5 4" xfId="20664" xr:uid="{00000000-0005-0000-0000-0000C4040000}"/>
    <cellStyle name="5x indented GHG Textfiels 2 4 6" xfId="9672" xr:uid="{00000000-0005-0000-0000-0000C5040000}"/>
    <cellStyle name="5x indented GHG Textfiels 2 5" xfId="1657" xr:uid="{00000000-0005-0000-0000-0000C6040000}"/>
    <cellStyle name="5x indented GHG Textfiels 2 5 2" xfId="2154" xr:uid="{00000000-0005-0000-0000-0000C7040000}"/>
    <cellStyle name="5x indented GHG Textfiels 2 5 2 2" xfId="4152" xr:uid="{00000000-0005-0000-0000-0000C8040000}"/>
    <cellStyle name="5x indented GHG Textfiels 2 5 2 2 2" xfId="14484" xr:uid="{00000000-0005-0000-0000-0000C9040000}"/>
    <cellStyle name="5x indented GHG Textfiels 2 5 2 2 2 2" xfId="20221" xr:uid="{00000000-0005-0000-0000-0000CA040000}"/>
    <cellStyle name="5x indented GHG Textfiels 2 5 2 2 2 3" xfId="29316" xr:uid="{00000000-0005-0000-0000-0000CB040000}"/>
    <cellStyle name="5x indented GHG Textfiels 2 5 2 2 3" xfId="11164" xr:uid="{00000000-0005-0000-0000-0000CC040000}"/>
    <cellStyle name="5x indented GHG Textfiels 2 5 2 2 3 2" xfId="20194" xr:uid="{00000000-0005-0000-0000-0000CD040000}"/>
    <cellStyle name="5x indented GHG Textfiels 2 5 2 2 3 3" xfId="25996" xr:uid="{00000000-0005-0000-0000-0000CE040000}"/>
    <cellStyle name="5x indented GHG Textfiels 2 5 2 2 4" xfId="21549" xr:uid="{00000000-0005-0000-0000-0000CF040000}"/>
    <cellStyle name="5x indented GHG Textfiels 2 5 2 3" xfId="3891" xr:uid="{00000000-0005-0000-0000-0000D0040000}"/>
    <cellStyle name="5x indented GHG Textfiels 2 5 2 3 2" xfId="7942" xr:uid="{00000000-0005-0000-0000-0000D1040000}"/>
    <cellStyle name="5x indented GHG Textfiels 2 5 2 3 2 2" xfId="17415" xr:uid="{00000000-0005-0000-0000-0000D2040000}"/>
    <cellStyle name="5x indented GHG Textfiels 2 5 2 3 2 2 2" xfId="20233" xr:uid="{00000000-0005-0000-0000-0000D3040000}"/>
    <cellStyle name="5x indented GHG Textfiels 2 5 2 3 2 2 3" xfId="32247" xr:uid="{00000000-0005-0000-0000-0000D4040000}"/>
    <cellStyle name="5x indented GHG Textfiels 2 5 2 3 2 3" xfId="23764" xr:uid="{00000000-0005-0000-0000-0000D5040000}"/>
    <cellStyle name="5x indented GHG Textfiels 2 5 2 4" xfId="5122" xr:uid="{00000000-0005-0000-0000-0000D6040000}"/>
    <cellStyle name="5x indented GHG Textfiels 2 5 2 4 2" xfId="9161" xr:uid="{00000000-0005-0000-0000-0000D7040000}"/>
    <cellStyle name="5x indented GHG Textfiels 2 5 2 4 2 2" xfId="18088" xr:uid="{00000000-0005-0000-0000-0000D8040000}"/>
    <cellStyle name="5x indented GHG Textfiels 2 5 2 4 2 2 2" xfId="20247" xr:uid="{00000000-0005-0000-0000-0000D9040000}"/>
    <cellStyle name="5x indented GHG Textfiels 2 5 2 4 2 2 3" xfId="32920" xr:uid="{00000000-0005-0000-0000-0000DA040000}"/>
    <cellStyle name="5x indented GHG Textfiels 2 5 2 4 2 3" xfId="24531" xr:uid="{00000000-0005-0000-0000-0000DB040000}"/>
    <cellStyle name="5x indented GHG Textfiels 2 5 2 5" xfId="3112" xr:uid="{00000000-0005-0000-0000-0000DC040000}"/>
    <cellStyle name="5x indented GHG Textfiels 2 5 2 5 2" xfId="13450" xr:uid="{00000000-0005-0000-0000-0000DD040000}"/>
    <cellStyle name="5x indented GHG Textfiels 2 5 2 5 2 2" xfId="20207" xr:uid="{00000000-0005-0000-0000-0000DE040000}"/>
    <cellStyle name="5x indented GHG Textfiels 2 5 2 5 2 3" xfId="28282" xr:uid="{00000000-0005-0000-0000-0000DF040000}"/>
    <cellStyle name="5x indented GHG Textfiels 2 5 2 5 3" xfId="10635" xr:uid="{00000000-0005-0000-0000-0000E0040000}"/>
    <cellStyle name="5x indented GHG Textfiels 2 5 2 5 3 2" xfId="20180" xr:uid="{00000000-0005-0000-0000-0000E1040000}"/>
    <cellStyle name="5x indented GHG Textfiels 2 5 2 5 3 3" xfId="25467" xr:uid="{00000000-0005-0000-0000-0000E2040000}"/>
    <cellStyle name="5x indented GHG Textfiels 2 5 2 5 4" xfId="20942" xr:uid="{00000000-0005-0000-0000-0000E3040000}"/>
    <cellStyle name="5x indented GHG Textfiels 2 5 3" xfId="3852" xr:uid="{00000000-0005-0000-0000-0000E4040000}"/>
    <cellStyle name="5x indented GHG Textfiels 2 5 3 2" xfId="14187" xr:uid="{00000000-0005-0000-0000-0000E5040000}"/>
    <cellStyle name="5x indented GHG Textfiels 2 5 3 2 2" xfId="20215" xr:uid="{00000000-0005-0000-0000-0000E6040000}"/>
    <cellStyle name="5x indented GHG Textfiels 2 5 3 2 3" xfId="29019" xr:uid="{00000000-0005-0000-0000-0000E7040000}"/>
    <cellStyle name="5x indented GHG Textfiels 2 5 3 3" xfId="11014" xr:uid="{00000000-0005-0000-0000-0000E8040000}"/>
    <cellStyle name="5x indented GHG Textfiels 2 5 3 3 2" xfId="20188" xr:uid="{00000000-0005-0000-0000-0000E9040000}"/>
    <cellStyle name="5x indented GHG Textfiels 2 5 3 3 3" xfId="25846" xr:uid="{00000000-0005-0000-0000-0000EA040000}"/>
    <cellStyle name="5x indented GHG Textfiels 2 5 3 4" xfId="21386" xr:uid="{00000000-0005-0000-0000-0000EB040000}"/>
    <cellStyle name="5x indented GHG Textfiels 2 5 4" xfId="4702" xr:uid="{00000000-0005-0000-0000-0000EC040000}"/>
    <cellStyle name="5x indented GHG Textfiels 2 5 4 2" xfId="8741" xr:uid="{00000000-0005-0000-0000-0000ED040000}"/>
    <cellStyle name="5x indented GHG Textfiels 2 5 4 2 2" xfId="17848" xr:uid="{00000000-0005-0000-0000-0000EE040000}"/>
    <cellStyle name="5x indented GHG Textfiels 2 5 4 2 2 2" xfId="20242" xr:uid="{00000000-0005-0000-0000-0000EF040000}"/>
    <cellStyle name="5x indented GHG Textfiels 2 5 4 2 2 3" xfId="32680" xr:uid="{00000000-0005-0000-0000-0000F0040000}"/>
    <cellStyle name="5x indented GHG Textfiels 2 5 4 2 3" xfId="24271" xr:uid="{00000000-0005-0000-0000-0000F1040000}"/>
    <cellStyle name="5x indented GHG Textfiels 2 5 5" xfId="2692" xr:uid="{00000000-0005-0000-0000-0000F2040000}"/>
    <cellStyle name="5x indented GHG Textfiels 2 5 5 2" xfId="13030" xr:uid="{00000000-0005-0000-0000-0000F3040000}"/>
    <cellStyle name="5x indented GHG Textfiels 2 5 5 2 2" xfId="20202" xr:uid="{00000000-0005-0000-0000-0000F4040000}"/>
    <cellStyle name="5x indented GHG Textfiels 2 5 5 2 3" xfId="27862" xr:uid="{00000000-0005-0000-0000-0000F5040000}"/>
    <cellStyle name="5x indented GHG Textfiels 2 5 5 3" xfId="10395" xr:uid="{00000000-0005-0000-0000-0000F6040000}"/>
    <cellStyle name="5x indented GHG Textfiels 2 5 5 3 2" xfId="20175" xr:uid="{00000000-0005-0000-0000-0000F7040000}"/>
    <cellStyle name="5x indented GHG Textfiels 2 5 5 3 3" xfId="25227" xr:uid="{00000000-0005-0000-0000-0000F8040000}"/>
    <cellStyle name="5x indented GHG Textfiels 2 5 5 4" xfId="20682" xr:uid="{00000000-0005-0000-0000-0000F9040000}"/>
    <cellStyle name="5x indented GHG Textfiels 2 5 6" xfId="9717" xr:uid="{00000000-0005-0000-0000-0000FA040000}"/>
    <cellStyle name="5x indented GHG Textfiels 2 6" xfId="2159" xr:uid="{00000000-0005-0000-0000-0000FB040000}"/>
    <cellStyle name="5x indented GHG Textfiels 2 6 2" xfId="3538" xr:uid="{00000000-0005-0000-0000-0000FC040000}"/>
    <cellStyle name="5x indented GHG Textfiels 2 6 2 2" xfId="7600" xr:uid="{00000000-0005-0000-0000-0000FD040000}"/>
    <cellStyle name="5x indented GHG Textfiels 2 6 2 2 2" xfId="17244" xr:uid="{00000000-0005-0000-0000-0000FE040000}"/>
    <cellStyle name="5x indented GHG Textfiels 2 6 2 2 2 2" xfId="20230" xr:uid="{00000000-0005-0000-0000-0000FF040000}"/>
    <cellStyle name="5x indented GHG Textfiels 2 6 2 2 2 3" xfId="32076" xr:uid="{00000000-0005-0000-0000-000000050000}"/>
    <cellStyle name="5x indented GHG Textfiels 2 6 2 2 3" xfId="23540" xr:uid="{00000000-0005-0000-0000-000001050000}"/>
    <cellStyle name="5x indented GHG Textfiels 2 6 3" xfId="5127" xr:uid="{00000000-0005-0000-0000-000002050000}"/>
    <cellStyle name="5x indented GHG Textfiels 2 6 3 2" xfId="9166" xr:uid="{00000000-0005-0000-0000-000003050000}"/>
    <cellStyle name="5x indented GHG Textfiels 2 6 3 2 2" xfId="18089" xr:uid="{00000000-0005-0000-0000-000004050000}"/>
    <cellStyle name="5x indented GHG Textfiels 2 6 3 2 2 2" xfId="20248" xr:uid="{00000000-0005-0000-0000-000005050000}"/>
    <cellStyle name="5x indented GHG Textfiels 2 6 3 2 2 3" xfId="32921" xr:uid="{00000000-0005-0000-0000-000006050000}"/>
    <cellStyle name="5x indented GHG Textfiels 2 6 3 2 3" xfId="24536" xr:uid="{00000000-0005-0000-0000-000007050000}"/>
    <cellStyle name="5x indented GHG Textfiels 2 6 4" xfId="4157" xr:uid="{00000000-0005-0000-0000-000008050000}"/>
    <cellStyle name="5x indented GHG Textfiels 2 6 4 2" xfId="14489" xr:uid="{00000000-0005-0000-0000-000009050000}"/>
    <cellStyle name="5x indented GHG Textfiels 2 6 4 2 2" xfId="20222" xr:uid="{00000000-0005-0000-0000-00000A050000}"/>
    <cellStyle name="5x indented GHG Textfiels 2 6 4 2 3" xfId="29321" xr:uid="{00000000-0005-0000-0000-00000B050000}"/>
    <cellStyle name="5x indented GHG Textfiels 2 6 4 3" xfId="11165" xr:uid="{00000000-0005-0000-0000-00000C050000}"/>
    <cellStyle name="5x indented GHG Textfiels 2 6 4 3 2" xfId="20195" xr:uid="{00000000-0005-0000-0000-00000D050000}"/>
    <cellStyle name="5x indented GHG Textfiels 2 6 4 3 3" xfId="25997" xr:uid="{00000000-0005-0000-0000-00000E050000}"/>
    <cellStyle name="5x indented GHG Textfiels 2 6 4 4" xfId="21550" xr:uid="{00000000-0005-0000-0000-00000F050000}"/>
    <cellStyle name="5x indented GHG Textfiels 2 7" xfId="3614" xr:uid="{00000000-0005-0000-0000-000010050000}"/>
    <cellStyle name="5x indented GHG Textfiels 2 7 2" xfId="13949" xr:uid="{00000000-0005-0000-0000-000011050000}"/>
    <cellStyle name="5x indented GHG Textfiels 2 7 2 2" xfId="20209" xr:uid="{00000000-0005-0000-0000-000012050000}"/>
    <cellStyle name="5x indented GHG Textfiels 2 7 2 3" xfId="28781" xr:uid="{00000000-0005-0000-0000-000013050000}"/>
    <cellStyle name="5x indented GHG Textfiels 2 7 3" xfId="10899" xr:uid="{00000000-0005-0000-0000-000014050000}"/>
    <cellStyle name="5x indented GHG Textfiels 2 7 3 2" xfId="20182" xr:uid="{00000000-0005-0000-0000-000015050000}"/>
    <cellStyle name="5x indented GHG Textfiels 2 7 3 3" xfId="25731" xr:uid="{00000000-0005-0000-0000-000016050000}"/>
    <cellStyle name="5x indented GHG Textfiels 2 7 4" xfId="21252" xr:uid="{00000000-0005-0000-0000-000017050000}"/>
    <cellStyle name="5x indented GHG Textfiels 2 8" xfId="3997" xr:uid="{00000000-0005-0000-0000-000018050000}"/>
    <cellStyle name="5x indented GHG Textfiels 2 8 2" xfId="8044" xr:uid="{00000000-0005-0000-0000-000019050000}"/>
    <cellStyle name="5x indented GHG Textfiels 2 8 2 2" xfId="17465" xr:uid="{00000000-0005-0000-0000-00001A050000}"/>
    <cellStyle name="5x indented GHG Textfiels 2 8 2 2 2" xfId="20234" xr:uid="{00000000-0005-0000-0000-00001B050000}"/>
    <cellStyle name="5x indented GHG Textfiels 2 8 2 2 3" xfId="32297" xr:uid="{00000000-0005-0000-0000-00001C050000}"/>
    <cellStyle name="5x indented GHG Textfiels 2 8 2 3" xfId="23827" xr:uid="{00000000-0005-0000-0000-00001D050000}"/>
    <cellStyle name="5x indented GHG Textfiels 2 9" xfId="2350" xr:uid="{00000000-0005-0000-0000-00001E050000}"/>
    <cellStyle name="5x indented GHG Textfiels 2 9 2" xfId="6462" xr:uid="{00000000-0005-0000-0000-00001F050000}"/>
    <cellStyle name="5x indented GHG Textfiels 2 9 2 2" xfId="16553" xr:uid="{00000000-0005-0000-0000-000020050000}"/>
    <cellStyle name="5x indented GHG Textfiels 2 9 2 2 2" xfId="20227" xr:uid="{00000000-0005-0000-0000-000021050000}"/>
    <cellStyle name="5x indented GHG Textfiels 2 9 2 2 3" xfId="31385" xr:uid="{00000000-0005-0000-0000-000022050000}"/>
    <cellStyle name="5x indented GHG Textfiels 2 9 2 3" xfId="22832" xr:uid="{00000000-0005-0000-0000-000023050000}"/>
    <cellStyle name="5x indented GHG Textfiels 3" xfId="1421" xr:uid="{00000000-0005-0000-0000-000024050000}"/>
    <cellStyle name="5x indented GHG Textfiels 3 2" xfId="1922" xr:uid="{00000000-0005-0000-0000-000025050000}"/>
    <cellStyle name="5x indented GHG Textfiels 3 2 2" xfId="3990" xr:uid="{00000000-0005-0000-0000-000026050000}"/>
    <cellStyle name="5x indented GHG Textfiels 3 2 2 2" xfId="14323" xr:uid="{00000000-0005-0000-0000-000027050000}"/>
    <cellStyle name="5x indented GHG Textfiels 3 2 2 2 2" xfId="20218" xr:uid="{00000000-0005-0000-0000-000028050000}"/>
    <cellStyle name="5x indented GHG Textfiels 3 2 2 2 3" xfId="29155" xr:uid="{00000000-0005-0000-0000-000029050000}"/>
    <cellStyle name="5x indented GHG Textfiels 3 2 2 3" xfId="11078" xr:uid="{00000000-0005-0000-0000-00002A050000}"/>
    <cellStyle name="5x indented GHG Textfiels 3 2 2 3 2" xfId="20191" xr:uid="{00000000-0005-0000-0000-00002B050000}"/>
    <cellStyle name="5x indented GHG Textfiels 3 2 2 3 3" xfId="25910" xr:uid="{00000000-0005-0000-0000-00002C050000}"/>
    <cellStyle name="5x indented GHG Textfiels 3 2 2 4" xfId="21463" xr:uid="{00000000-0005-0000-0000-00002D050000}"/>
    <cellStyle name="5x indented GHG Textfiels 3 2 3" xfId="3809" xr:uid="{00000000-0005-0000-0000-00002E050000}"/>
    <cellStyle name="5x indented GHG Textfiels 3 2 3 2" xfId="14144" xr:uid="{00000000-0005-0000-0000-00002F050000}"/>
    <cellStyle name="5x indented GHG Textfiels 3 2 3 2 2" xfId="20213" xr:uid="{00000000-0005-0000-0000-000030050000}"/>
    <cellStyle name="5x indented GHG Textfiels 3 2 3 2 3" xfId="28976" xr:uid="{00000000-0005-0000-0000-000031050000}"/>
    <cellStyle name="5x indented GHG Textfiels 3 2 3 3" xfId="10994" xr:uid="{00000000-0005-0000-0000-000032050000}"/>
    <cellStyle name="5x indented GHG Textfiels 3 2 3 3 2" xfId="20186" xr:uid="{00000000-0005-0000-0000-000033050000}"/>
    <cellStyle name="5x indented GHG Textfiels 3 2 3 3 3" xfId="25826" xr:uid="{00000000-0005-0000-0000-000034050000}"/>
    <cellStyle name="5x indented GHG Textfiels 3 2 3 4" xfId="21364" xr:uid="{00000000-0005-0000-0000-000035050000}"/>
    <cellStyle name="5x indented GHG Textfiels 3 2 4" xfId="4901" xr:uid="{00000000-0005-0000-0000-000036050000}"/>
    <cellStyle name="5x indented GHG Textfiels 3 2 4 2" xfId="8940" xr:uid="{00000000-0005-0000-0000-000037050000}"/>
    <cellStyle name="5x indented GHG Textfiels 3 2 4 2 2" xfId="17945" xr:uid="{00000000-0005-0000-0000-000038050000}"/>
    <cellStyle name="5x indented GHG Textfiels 3 2 4 2 2 2" xfId="20244" xr:uid="{00000000-0005-0000-0000-000039050000}"/>
    <cellStyle name="5x indented GHG Textfiels 3 2 4 2 2 3" xfId="32777" xr:uid="{00000000-0005-0000-0000-00003A050000}"/>
    <cellStyle name="5x indented GHG Textfiels 3 2 4 2 3" xfId="24406" xr:uid="{00000000-0005-0000-0000-00003B050000}"/>
    <cellStyle name="5x indented GHG Textfiels 3 2 5" xfId="2891" xr:uid="{00000000-0005-0000-0000-00003C050000}"/>
    <cellStyle name="5x indented GHG Textfiels 3 2 5 2" xfId="13229" xr:uid="{00000000-0005-0000-0000-00003D050000}"/>
    <cellStyle name="5x indented GHG Textfiels 3 2 5 2 2" xfId="20204" xr:uid="{00000000-0005-0000-0000-00003E050000}"/>
    <cellStyle name="5x indented GHG Textfiels 3 2 5 2 3" xfId="28061" xr:uid="{00000000-0005-0000-0000-00003F050000}"/>
    <cellStyle name="5x indented GHG Textfiels 3 2 5 3" xfId="10492" xr:uid="{00000000-0005-0000-0000-000040050000}"/>
    <cellStyle name="5x indented GHG Textfiels 3 2 5 3 2" xfId="20177" xr:uid="{00000000-0005-0000-0000-000041050000}"/>
    <cellStyle name="5x indented GHG Textfiels 3 2 5 3 3" xfId="25324" xr:uid="{00000000-0005-0000-0000-000042050000}"/>
    <cellStyle name="5x indented GHG Textfiels 3 2 5 4" xfId="20817" xr:uid="{00000000-0005-0000-0000-000043050000}"/>
    <cellStyle name="5x indented GHG Textfiels 3 2 6" xfId="9906" xr:uid="{00000000-0005-0000-0000-000044050000}"/>
    <cellStyle name="5x indented GHG Textfiels 3 3" xfId="2240" xr:uid="{00000000-0005-0000-0000-000045050000}"/>
    <cellStyle name="5x indented GHG Textfiels 3 3 2" xfId="4344" xr:uid="{00000000-0005-0000-0000-000046050000}"/>
    <cellStyle name="5x indented GHG Textfiels 3 3 2 2" xfId="8383" xr:uid="{00000000-0005-0000-0000-000047050000}"/>
    <cellStyle name="5x indented GHG Textfiels 3 3 2 2 2" xfId="17655" xr:uid="{00000000-0005-0000-0000-000048050000}"/>
    <cellStyle name="5x indented GHG Textfiels 3 3 2 2 2 2" xfId="20237" xr:uid="{00000000-0005-0000-0000-000049050000}"/>
    <cellStyle name="5x indented GHG Textfiels 3 3 2 2 2 3" xfId="32487" xr:uid="{00000000-0005-0000-0000-00004A050000}"/>
    <cellStyle name="5x indented GHG Textfiels 3 3 2 2 3" xfId="24041" xr:uid="{00000000-0005-0000-0000-00004B050000}"/>
    <cellStyle name="5x indented GHG Textfiels 3 3 3" xfId="5208" xr:uid="{00000000-0005-0000-0000-00004C050000}"/>
    <cellStyle name="5x indented GHG Textfiels 3 3 3 2" xfId="9247" xr:uid="{00000000-0005-0000-0000-00004D050000}"/>
    <cellStyle name="5x indented GHG Textfiels 3 3 3 2 2" xfId="18138" xr:uid="{00000000-0005-0000-0000-00004E050000}"/>
    <cellStyle name="5x indented GHG Textfiels 3 3 3 2 2 2" xfId="20250" xr:uid="{00000000-0005-0000-0000-00004F050000}"/>
    <cellStyle name="5x indented GHG Textfiels 3 3 3 2 2 3" xfId="32970" xr:uid="{00000000-0005-0000-0000-000050050000}"/>
    <cellStyle name="5x indented GHG Textfiels 3 3 3 2 3" xfId="24585" xr:uid="{00000000-0005-0000-0000-000051050000}"/>
    <cellStyle name="5x indented GHG Textfiels 3 3 4" xfId="4238" xr:uid="{00000000-0005-0000-0000-000052050000}"/>
    <cellStyle name="5x indented GHG Textfiels 3 3 4 2" xfId="14570" xr:uid="{00000000-0005-0000-0000-000053050000}"/>
    <cellStyle name="5x indented GHG Textfiels 3 3 4 2 2" xfId="20224" xr:uid="{00000000-0005-0000-0000-000054050000}"/>
    <cellStyle name="5x indented GHG Textfiels 3 3 4 2 3" xfId="29402" xr:uid="{00000000-0005-0000-0000-000055050000}"/>
    <cellStyle name="5x indented GHG Textfiels 3 3 4 3" xfId="11214" xr:uid="{00000000-0005-0000-0000-000056050000}"/>
    <cellStyle name="5x indented GHG Textfiels 3 3 4 3 2" xfId="20197" xr:uid="{00000000-0005-0000-0000-000057050000}"/>
    <cellStyle name="5x indented GHG Textfiels 3 3 4 3 3" xfId="26046" xr:uid="{00000000-0005-0000-0000-000058050000}"/>
    <cellStyle name="5x indented GHG Textfiels 3 3 4 4" xfId="21598" xr:uid="{00000000-0005-0000-0000-000059050000}"/>
    <cellStyle name="5x indented GHG Textfiels 3 4" xfId="3690" xr:uid="{00000000-0005-0000-0000-00005A050000}"/>
    <cellStyle name="5x indented GHG Textfiels 3 4 2" xfId="14025" xr:uid="{00000000-0005-0000-0000-00005B050000}"/>
    <cellStyle name="5x indented GHG Textfiels 3 4 2 2" xfId="20211" xr:uid="{00000000-0005-0000-0000-00005C050000}"/>
    <cellStyle name="5x indented GHG Textfiels 3 4 2 3" xfId="28857" xr:uid="{00000000-0005-0000-0000-00005D050000}"/>
    <cellStyle name="5x indented GHG Textfiels 3 4 3" xfId="10934" xr:uid="{00000000-0005-0000-0000-00005E050000}"/>
    <cellStyle name="5x indented GHG Textfiels 3 4 3 2" xfId="20184" xr:uid="{00000000-0005-0000-0000-00005F050000}"/>
    <cellStyle name="5x indented GHG Textfiels 3 4 3 3" xfId="25766" xr:uid="{00000000-0005-0000-0000-000060050000}"/>
    <cellStyle name="5x indented GHG Textfiels 3 4 4" xfId="21294" xr:uid="{00000000-0005-0000-0000-000061050000}"/>
    <cellStyle name="5x indented GHG Textfiels 3 5" xfId="3983" xr:uid="{00000000-0005-0000-0000-000062050000}"/>
    <cellStyle name="5x indented GHG Textfiels 3 5 2" xfId="14316" xr:uid="{00000000-0005-0000-0000-000063050000}"/>
    <cellStyle name="5x indented GHG Textfiels 3 5 2 2" xfId="20217" xr:uid="{00000000-0005-0000-0000-000064050000}"/>
    <cellStyle name="5x indented GHG Textfiels 3 5 2 3" xfId="29148" xr:uid="{00000000-0005-0000-0000-000065050000}"/>
    <cellStyle name="5x indented GHG Textfiels 3 5 3" xfId="11073" xr:uid="{00000000-0005-0000-0000-000066050000}"/>
    <cellStyle name="5x indented GHG Textfiels 3 5 3 2" xfId="20190" xr:uid="{00000000-0005-0000-0000-000067050000}"/>
    <cellStyle name="5x indented GHG Textfiels 3 5 3 3" xfId="25905" xr:uid="{00000000-0005-0000-0000-000068050000}"/>
    <cellStyle name="5x indented GHG Textfiels 3 5 4" xfId="21460" xr:uid="{00000000-0005-0000-0000-000069050000}"/>
    <cellStyle name="5x indented GHG Textfiels 3 6" xfId="4481" xr:uid="{00000000-0005-0000-0000-00006A050000}"/>
    <cellStyle name="5x indented GHG Textfiels 3 6 2" xfId="8520" xr:uid="{00000000-0005-0000-0000-00006B050000}"/>
    <cellStyle name="5x indented GHG Textfiels 3 6 2 2" xfId="17705" xr:uid="{00000000-0005-0000-0000-00006C050000}"/>
    <cellStyle name="5x indented GHG Textfiels 3 6 2 2 2" xfId="20239" xr:uid="{00000000-0005-0000-0000-00006D050000}"/>
    <cellStyle name="5x indented GHG Textfiels 3 6 2 2 3" xfId="32537" xr:uid="{00000000-0005-0000-0000-00006E050000}"/>
    <cellStyle name="5x indented GHG Textfiels 3 6 2 3" xfId="24146" xr:uid="{00000000-0005-0000-0000-00006F050000}"/>
    <cellStyle name="5x indented GHG Textfiels 3 7" xfId="2471" xr:uid="{00000000-0005-0000-0000-000070050000}"/>
    <cellStyle name="5x indented GHG Textfiels 3 7 2" xfId="6577" xr:uid="{00000000-0005-0000-0000-000071050000}"/>
    <cellStyle name="5x indented GHG Textfiels 3 7 2 2" xfId="16602" xr:uid="{00000000-0005-0000-0000-000072050000}"/>
    <cellStyle name="5x indented GHG Textfiels 3 7 2 2 2" xfId="20228" xr:uid="{00000000-0005-0000-0000-000073050000}"/>
    <cellStyle name="5x indented GHG Textfiels 3 7 2 2 3" xfId="31434" xr:uid="{00000000-0005-0000-0000-000074050000}"/>
    <cellStyle name="5x indented GHG Textfiels 3 7 2 3" xfId="22915" xr:uid="{00000000-0005-0000-0000-000075050000}"/>
    <cellStyle name="5x indented GHG Textfiels 3 8" xfId="1694" xr:uid="{00000000-0005-0000-0000-000076050000}"/>
    <cellStyle name="5x indented GHG Textfiels 3 8 2" xfId="5826" xr:uid="{00000000-0005-0000-0000-000077050000}"/>
    <cellStyle name="5x indented GHG Textfiels 3 8 2 2" xfId="16037" xr:uid="{00000000-0005-0000-0000-000078050000}"/>
    <cellStyle name="5x indented GHG Textfiels 3 8 2 2 2" xfId="20225" xr:uid="{00000000-0005-0000-0000-000079050000}"/>
    <cellStyle name="5x indented GHG Textfiels 3 8 2 2 3" xfId="30869" xr:uid="{00000000-0005-0000-0000-00007A050000}"/>
    <cellStyle name="5x indented GHG Textfiels 3 8 2 3" xfId="22423" xr:uid="{00000000-0005-0000-0000-00007B050000}"/>
    <cellStyle name="5x indented GHG Textfiels 3 8 3" xfId="12088" xr:uid="{00000000-0005-0000-0000-00007C050000}"/>
    <cellStyle name="5x indented GHG Textfiels 3 8 3 2" xfId="20198" xr:uid="{00000000-0005-0000-0000-00007D050000}"/>
    <cellStyle name="5x indented GHG Textfiels 3 8 3 3" xfId="26920" xr:uid="{00000000-0005-0000-0000-00007E050000}"/>
    <cellStyle name="5x indented GHG Textfiels 3 8 4" xfId="9718" xr:uid="{00000000-0005-0000-0000-00007F050000}"/>
    <cellStyle name="5x indented GHG Textfiels 3 9" xfId="9511" xr:uid="{00000000-0005-0000-0000-000080050000}"/>
    <cellStyle name="5x indented GHG Textfiels 4" xfId="2238" xr:uid="{00000000-0005-0000-0000-000081050000}"/>
    <cellStyle name="5x indented GHG Textfiels 4 2" xfId="4342" xr:uid="{00000000-0005-0000-0000-000082050000}"/>
    <cellStyle name="5x indented GHG Textfiels 4 2 2" xfId="8381" xr:uid="{00000000-0005-0000-0000-000083050000}"/>
    <cellStyle name="5x indented GHG Textfiels 4 2 2 2" xfId="17654" xr:uid="{00000000-0005-0000-0000-000084050000}"/>
    <cellStyle name="5x indented GHG Textfiels 4 2 2 2 2" xfId="20236" xr:uid="{00000000-0005-0000-0000-000085050000}"/>
    <cellStyle name="5x indented GHG Textfiels 4 2 2 2 3" xfId="32486" xr:uid="{00000000-0005-0000-0000-000086050000}"/>
    <cellStyle name="5x indented GHG Textfiels 4 2 2 3" xfId="24039" xr:uid="{00000000-0005-0000-0000-000087050000}"/>
    <cellStyle name="5x indented GHG Textfiels 4 3" xfId="5206" xr:uid="{00000000-0005-0000-0000-000088050000}"/>
    <cellStyle name="5x indented GHG Textfiels 4 3 2" xfId="9245" xr:uid="{00000000-0005-0000-0000-000089050000}"/>
    <cellStyle name="5x indented GHG Textfiels 4 3 2 2" xfId="18137" xr:uid="{00000000-0005-0000-0000-00008A050000}"/>
    <cellStyle name="5x indented GHG Textfiels 4 3 2 2 2" xfId="20249" xr:uid="{00000000-0005-0000-0000-00008B050000}"/>
    <cellStyle name="5x indented GHG Textfiels 4 3 2 2 3" xfId="32969" xr:uid="{00000000-0005-0000-0000-00008C050000}"/>
    <cellStyle name="5x indented GHG Textfiels 4 3 2 3" xfId="24583" xr:uid="{00000000-0005-0000-0000-00008D050000}"/>
    <cellStyle name="5x indented GHG Textfiels 4 4" xfId="4236" xr:uid="{00000000-0005-0000-0000-00008E050000}"/>
    <cellStyle name="5x indented GHG Textfiels 4 4 2" xfId="14568" xr:uid="{00000000-0005-0000-0000-00008F050000}"/>
    <cellStyle name="5x indented GHG Textfiels 4 4 2 2" xfId="20223" xr:uid="{00000000-0005-0000-0000-000090050000}"/>
    <cellStyle name="5x indented GHG Textfiels 4 4 2 3" xfId="29400" xr:uid="{00000000-0005-0000-0000-000091050000}"/>
    <cellStyle name="5x indented GHG Textfiels 4 4 3" xfId="11213" xr:uid="{00000000-0005-0000-0000-000092050000}"/>
    <cellStyle name="5x indented GHG Textfiels 4 4 3 2" xfId="20196" xr:uid="{00000000-0005-0000-0000-000093050000}"/>
    <cellStyle name="5x indented GHG Textfiels 4 4 3 3" xfId="26045" xr:uid="{00000000-0005-0000-0000-000094050000}"/>
    <cellStyle name="5x indented GHG Textfiels 4 4 4" xfId="21597" xr:uid="{00000000-0005-0000-0000-000095050000}"/>
    <cellStyle name="5x indented GHG Textfiels 5" xfId="3312" xr:uid="{00000000-0005-0000-0000-000096050000}"/>
    <cellStyle name="5x indented GHG Textfiels 5 2" xfId="13649" xr:uid="{00000000-0005-0000-0000-000097050000}"/>
    <cellStyle name="5x indented GHG Textfiels 5 2 2" xfId="20208" xr:uid="{00000000-0005-0000-0000-000098050000}"/>
    <cellStyle name="5x indented GHG Textfiels 5 2 3" xfId="28481" xr:uid="{00000000-0005-0000-0000-000099050000}"/>
    <cellStyle name="5x indented GHG Textfiels 5 3" xfId="10733" xr:uid="{00000000-0005-0000-0000-00009A050000}"/>
    <cellStyle name="5x indented GHG Textfiels 5 3 2" xfId="20181" xr:uid="{00000000-0005-0000-0000-00009B050000}"/>
    <cellStyle name="5x indented GHG Textfiels 5 3 3" xfId="25565" xr:uid="{00000000-0005-0000-0000-00009C050000}"/>
    <cellStyle name="5x indented GHG Textfiels 5 4" xfId="21081" xr:uid="{00000000-0005-0000-0000-00009D050000}"/>
    <cellStyle name="5x indented GHG Textfiels 6" xfId="3611" xr:uid="{00000000-0005-0000-0000-00009E050000}"/>
    <cellStyle name="5x indented GHG Textfiels 6 2" xfId="7672" xr:uid="{00000000-0005-0000-0000-00009F050000}"/>
    <cellStyle name="5x indented GHG Textfiels 6 2 2" xfId="17282" xr:uid="{00000000-0005-0000-0000-0000A0050000}"/>
    <cellStyle name="5x indented GHG Textfiels 6 2 2 2" xfId="20231" xr:uid="{00000000-0005-0000-0000-0000A1050000}"/>
    <cellStyle name="5x indented GHG Textfiels 6 2 2 3" xfId="32114" xr:uid="{00000000-0005-0000-0000-0000A2050000}"/>
    <cellStyle name="5x indented GHG Textfiels 6 2 3" xfId="23582" xr:uid="{00000000-0005-0000-0000-0000A3050000}"/>
    <cellStyle name="5x indented GHG Textfiels 7" xfId="2266" xr:uid="{00000000-0005-0000-0000-0000A4050000}"/>
    <cellStyle name="5x indented GHG Textfiels 7 2" xfId="6378" xr:uid="{00000000-0005-0000-0000-0000A5050000}"/>
    <cellStyle name="5x indented GHG Textfiels 7 2 2" xfId="16505" xr:uid="{00000000-0005-0000-0000-0000A6050000}"/>
    <cellStyle name="5x indented GHG Textfiels 7 2 2 2" xfId="20226" xr:uid="{00000000-0005-0000-0000-0000A7050000}"/>
    <cellStyle name="5x indented GHG Textfiels 7 2 2 3" xfId="31337" xr:uid="{00000000-0005-0000-0000-0000A8050000}"/>
    <cellStyle name="5x indented GHG Textfiels 7 2 3" xfId="22780" xr:uid="{00000000-0005-0000-0000-0000A9050000}"/>
    <cellStyle name="5x indented GHG Textfiels 8" xfId="5390" xr:uid="{00000000-0005-0000-0000-0000AA050000}"/>
    <cellStyle name="5x indented GHG Textfiels 8 2" xfId="18249" xr:uid="{00000000-0005-0000-0000-0000AB050000}"/>
    <cellStyle name="5x indented GHG Textfiels 8 3" xfId="22151" xr:uid="{00000000-0005-0000-0000-0000AC050000}"/>
    <cellStyle name="60% - Accent1 10" xfId="707" xr:uid="{00000000-0005-0000-0000-0000AD050000}"/>
    <cellStyle name="60% - Accent1 2" xfId="708" xr:uid="{00000000-0005-0000-0000-0000AE050000}"/>
    <cellStyle name="60% - Accent1 2 2" xfId="709" xr:uid="{00000000-0005-0000-0000-0000AF050000}"/>
    <cellStyle name="60% - Accent1 2 3" xfId="710" xr:uid="{00000000-0005-0000-0000-0000B0050000}"/>
    <cellStyle name="60% - Accent1 2 4" xfId="711" xr:uid="{00000000-0005-0000-0000-0000B1050000}"/>
    <cellStyle name="60% - Accent1 2 5" xfId="712" xr:uid="{00000000-0005-0000-0000-0000B2050000}"/>
    <cellStyle name="60% - Accent1 2 6" xfId="713" xr:uid="{00000000-0005-0000-0000-0000B3050000}"/>
    <cellStyle name="60% - Accent1 2 7" xfId="714" xr:uid="{00000000-0005-0000-0000-0000B4050000}"/>
    <cellStyle name="60% - Accent1 2 8" xfId="715" xr:uid="{00000000-0005-0000-0000-0000B5050000}"/>
    <cellStyle name="60% - Accent1 3" xfId="716" xr:uid="{00000000-0005-0000-0000-0000B6050000}"/>
    <cellStyle name="60% - Accent1 3 2" xfId="717" xr:uid="{00000000-0005-0000-0000-0000B7050000}"/>
    <cellStyle name="60% - Accent1 4" xfId="718" xr:uid="{00000000-0005-0000-0000-0000B8050000}"/>
    <cellStyle name="60% - Accent1 4 2" xfId="719" xr:uid="{00000000-0005-0000-0000-0000B9050000}"/>
    <cellStyle name="60% - Accent1 5" xfId="720" xr:uid="{00000000-0005-0000-0000-0000BA050000}"/>
    <cellStyle name="60% - Accent1 5 2" xfId="721" xr:uid="{00000000-0005-0000-0000-0000BB050000}"/>
    <cellStyle name="60% - Accent1 6" xfId="722" xr:uid="{00000000-0005-0000-0000-0000BC050000}"/>
    <cellStyle name="60% - Accent1 6 2" xfId="723" xr:uid="{00000000-0005-0000-0000-0000BD050000}"/>
    <cellStyle name="60% - Accent1 7" xfId="724" xr:uid="{00000000-0005-0000-0000-0000BE050000}"/>
    <cellStyle name="60% - Accent1 7 2" xfId="725" xr:uid="{00000000-0005-0000-0000-0000BF050000}"/>
    <cellStyle name="60% - Accent1 8" xfId="726" xr:uid="{00000000-0005-0000-0000-0000C0050000}"/>
    <cellStyle name="60% - Accent1 8 2" xfId="727" xr:uid="{00000000-0005-0000-0000-0000C1050000}"/>
    <cellStyle name="60% - Accent1 9" xfId="728" xr:uid="{00000000-0005-0000-0000-0000C2050000}"/>
    <cellStyle name="60% - Accent2 10" xfId="729" xr:uid="{00000000-0005-0000-0000-0000C3050000}"/>
    <cellStyle name="60% - Accent2 2" xfId="730" xr:uid="{00000000-0005-0000-0000-0000C4050000}"/>
    <cellStyle name="60% - Accent2 2 2" xfId="731" xr:uid="{00000000-0005-0000-0000-0000C5050000}"/>
    <cellStyle name="60% - Accent2 2 3" xfId="732" xr:uid="{00000000-0005-0000-0000-0000C6050000}"/>
    <cellStyle name="60% - Accent2 2 4" xfId="733" xr:uid="{00000000-0005-0000-0000-0000C7050000}"/>
    <cellStyle name="60% - Accent2 2 5" xfId="734" xr:uid="{00000000-0005-0000-0000-0000C8050000}"/>
    <cellStyle name="60% - Accent2 2 6" xfId="735" xr:uid="{00000000-0005-0000-0000-0000C9050000}"/>
    <cellStyle name="60% - Accent2 2 7" xfId="736" xr:uid="{00000000-0005-0000-0000-0000CA050000}"/>
    <cellStyle name="60% - Accent2 2 8" xfId="737" xr:uid="{00000000-0005-0000-0000-0000CB050000}"/>
    <cellStyle name="60% - Accent2 3" xfId="738" xr:uid="{00000000-0005-0000-0000-0000CC050000}"/>
    <cellStyle name="60% - Accent2 3 2" xfId="739" xr:uid="{00000000-0005-0000-0000-0000CD050000}"/>
    <cellStyle name="60% - Accent2 4" xfId="740" xr:uid="{00000000-0005-0000-0000-0000CE050000}"/>
    <cellStyle name="60% - Accent2 4 2" xfId="741" xr:uid="{00000000-0005-0000-0000-0000CF050000}"/>
    <cellStyle name="60% - Accent2 5" xfId="742" xr:uid="{00000000-0005-0000-0000-0000D0050000}"/>
    <cellStyle name="60% - Accent2 5 2" xfId="743" xr:uid="{00000000-0005-0000-0000-0000D1050000}"/>
    <cellStyle name="60% - Accent2 6" xfId="744" xr:uid="{00000000-0005-0000-0000-0000D2050000}"/>
    <cellStyle name="60% - Accent2 6 2" xfId="745" xr:uid="{00000000-0005-0000-0000-0000D3050000}"/>
    <cellStyle name="60% - Accent2 7" xfId="746" xr:uid="{00000000-0005-0000-0000-0000D4050000}"/>
    <cellStyle name="60% - Accent2 7 2" xfId="747" xr:uid="{00000000-0005-0000-0000-0000D5050000}"/>
    <cellStyle name="60% - Accent2 8" xfId="748" xr:uid="{00000000-0005-0000-0000-0000D6050000}"/>
    <cellStyle name="60% - Accent2 8 2" xfId="749" xr:uid="{00000000-0005-0000-0000-0000D7050000}"/>
    <cellStyle name="60% - Accent2 9" xfId="750" xr:uid="{00000000-0005-0000-0000-0000D8050000}"/>
    <cellStyle name="60% - Accent3 10" xfId="751" xr:uid="{00000000-0005-0000-0000-0000D9050000}"/>
    <cellStyle name="60% - Accent3 2" xfId="752" xr:uid="{00000000-0005-0000-0000-0000DA050000}"/>
    <cellStyle name="60% - Accent3 2 2" xfId="753" xr:uid="{00000000-0005-0000-0000-0000DB050000}"/>
    <cellStyle name="60% - Accent3 2 3" xfId="754" xr:uid="{00000000-0005-0000-0000-0000DC050000}"/>
    <cellStyle name="60% - Accent3 2 4" xfId="755" xr:uid="{00000000-0005-0000-0000-0000DD050000}"/>
    <cellStyle name="60% - Accent3 2 5" xfId="756" xr:uid="{00000000-0005-0000-0000-0000DE050000}"/>
    <cellStyle name="60% - Accent3 2 6" xfId="757" xr:uid="{00000000-0005-0000-0000-0000DF050000}"/>
    <cellStyle name="60% - Accent3 2 7" xfId="758" xr:uid="{00000000-0005-0000-0000-0000E0050000}"/>
    <cellStyle name="60% - Accent3 2 8" xfId="759" xr:uid="{00000000-0005-0000-0000-0000E1050000}"/>
    <cellStyle name="60% - Accent3 3" xfId="760" xr:uid="{00000000-0005-0000-0000-0000E2050000}"/>
    <cellStyle name="60% - Accent3 3 2" xfId="761" xr:uid="{00000000-0005-0000-0000-0000E3050000}"/>
    <cellStyle name="60% - Accent3 4" xfId="762" xr:uid="{00000000-0005-0000-0000-0000E4050000}"/>
    <cellStyle name="60% - Accent3 4 2" xfId="763" xr:uid="{00000000-0005-0000-0000-0000E5050000}"/>
    <cellStyle name="60% - Accent3 5" xfId="764" xr:uid="{00000000-0005-0000-0000-0000E6050000}"/>
    <cellStyle name="60% - Accent3 5 2" xfId="765" xr:uid="{00000000-0005-0000-0000-0000E7050000}"/>
    <cellStyle name="60% - Accent3 6" xfId="766" xr:uid="{00000000-0005-0000-0000-0000E8050000}"/>
    <cellStyle name="60% - Accent3 6 2" xfId="767" xr:uid="{00000000-0005-0000-0000-0000E9050000}"/>
    <cellStyle name="60% - Accent3 7" xfId="768" xr:uid="{00000000-0005-0000-0000-0000EA050000}"/>
    <cellStyle name="60% - Accent3 7 2" xfId="769" xr:uid="{00000000-0005-0000-0000-0000EB050000}"/>
    <cellStyle name="60% - Accent3 8" xfId="770" xr:uid="{00000000-0005-0000-0000-0000EC050000}"/>
    <cellStyle name="60% - Accent3 8 2" xfId="771" xr:uid="{00000000-0005-0000-0000-0000ED050000}"/>
    <cellStyle name="60% - Accent3 9" xfId="772" xr:uid="{00000000-0005-0000-0000-0000EE050000}"/>
    <cellStyle name="60% - Accent4 10" xfId="773" xr:uid="{00000000-0005-0000-0000-0000EF050000}"/>
    <cellStyle name="60% - Accent4 2" xfId="774" xr:uid="{00000000-0005-0000-0000-0000F0050000}"/>
    <cellStyle name="60% - Accent4 2 2" xfId="775" xr:uid="{00000000-0005-0000-0000-0000F1050000}"/>
    <cellStyle name="60% - Accent4 2 3" xfId="776" xr:uid="{00000000-0005-0000-0000-0000F2050000}"/>
    <cellStyle name="60% - Accent4 2 4" xfId="777" xr:uid="{00000000-0005-0000-0000-0000F3050000}"/>
    <cellStyle name="60% - Accent4 2 5" xfId="778" xr:uid="{00000000-0005-0000-0000-0000F4050000}"/>
    <cellStyle name="60% - Accent4 2 6" xfId="779" xr:uid="{00000000-0005-0000-0000-0000F5050000}"/>
    <cellStyle name="60% - Accent4 2 7" xfId="780" xr:uid="{00000000-0005-0000-0000-0000F6050000}"/>
    <cellStyle name="60% - Accent4 2 8" xfId="781" xr:uid="{00000000-0005-0000-0000-0000F7050000}"/>
    <cellStyle name="60% - Accent4 3" xfId="782" xr:uid="{00000000-0005-0000-0000-0000F8050000}"/>
    <cellStyle name="60% - Accent4 3 2" xfId="783" xr:uid="{00000000-0005-0000-0000-0000F9050000}"/>
    <cellStyle name="60% - Accent4 4" xfId="784" xr:uid="{00000000-0005-0000-0000-0000FA050000}"/>
    <cellStyle name="60% - Accent4 4 2" xfId="785" xr:uid="{00000000-0005-0000-0000-0000FB050000}"/>
    <cellStyle name="60% - Accent4 5" xfId="786" xr:uid="{00000000-0005-0000-0000-0000FC050000}"/>
    <cellStyle name="60% - Accent4 5 2" xfId="787" xr:uid="{00000000-0005-0000-0000-0000FD050000}"/>
    <cellStyle name="60% - Accent4 6" xfId="788" xr:uid="{00000000-0005-0000-0000-0000FE050000}"/>
    <cellStyle name="60% - Accent4 6 2" xfId="789" xr:uid="{00000000-0005-0000-0000-0000FF050000}"/>
    <cellStyle name="60% - Accent4 7" xfId="790" xr:uid="{00000000-0005-0000-0000-000000060000}"/>
    <cellStyle name="60% - Accent4 7 2" xfId="791" xr:uid="{00000000-0005-0000-0000-000001060000}"/>
    <cellStyle name="60% - Accent4 8" xfId="792" xr:uid="{00000000-0005-0000-0000-000002060000}"/>
    <cellStyle name="60% - Accent4 8 2" xfId="793" xr:uid="{00000000-0005-0000-0000-000003060000}"/>
    <cellStyle name="60% - Accent4 9" xfId="794" xr:uid="{00000000-0005-0000-0000-000004060000}"/>
    <cellStyle name="60% - Accent5 10" xfId="795" xr:uid="{00000000-0005-0000-0000-000005060000}"/>
    <cellStyle name="60% - Accent5 2" xfId="796" xr:uid="{00000000-0005-0000-0000-000006060000}"/>
    <cellStyle name="60% - Accent5 2 2" xfId="797" xr:uid="{00000000-0005-0000-0000-000007060000}"/>
    <cellStyle name="60% - Accent5 2 3" xfId="798" xr:uid="{00000000-0005-0000-0000-000008060000}"/>
    <cellStyle name="60% - Accent5 2 4" xfId="799" xr:uid="{00000000-0005-0000-0000-000009060000}"/>
    <cellStyle name="60% - Accent5 2 5" xfId="800" xr:uid="{00000000-0005-0000-0000-00000A060000}"/>
    <cellStyle name="60% - Accent5 2 6" xfId="801" xr:uid="{00000000-0005-0000-0000-00000B060000}"/>
    <cellStyle name="60% - Accent5 2 7" xfId="802" xr:uid="{00000000-0005-0000-0000-00000C060000}"/>
    <cellStyle name="60% - Accent5 2 8" xfId="803" xr:uid="{00000000-0005-0000-0000-00000D060000}"/>
    <cellStyle name="60% - Accent5 3" xfId="804" xr:uid="{00000000-0005-0000-0000-00000E060000}"/>
    <cellStyle name="60% - Accent5 3 2" xfId="805" xr:uid="{00000000-0005-0000-0000-00000F060000}"/>
    <cellStyle name="60% - Accent5 4" xfId="806" xr:uid="{00000000-0005-0000-0000-000010060000}"/>
    <cellStyle name="60% - Accent5 4 2" xfId="807" xr:uid="{00000000-0005-0000-0000-000011060000}"/>
    <cellStyle name="60% - Accent5 5" xfId="808" xr:uid="{00000000-0005-0000-0000-000012060000}"/>
    <cellStyle name="60% - Accent5 5 2" xfId="809" xr:uid="{00000000-0005-0000-0000-000013060000}"/>
    <cellStyle name="60% - Accent5 6" xfId="810" xr:uid="{00000000-0005-0000-0000-000014060000}"/>
    <cellStyle name="60% - Accent5 6 2" xfId="811" xr:uid="{00000000-0005-0000-0000-000015060000}"/>
    <cellStyle name="60% - Accent5 7" xfId="812" xr:uid="{00000000-0005-0000-0000-000016060000}"/>
    <cellStyle name="60% - Accent5 7 2" xfId="813" xr:uid="{00000000-0005-0000-0000-000017060000}"/>
    <cellStyle name="60% - Accent5 8" xfId="814" xr:uid="{00000000-0005-0000-0000-000018060000}"/>
    <cellStyle name="60% - Accent5 8 2" xfId="815" xr:uid="{00000000-0005-0000-0000-000019060000}"/>
    <cellStyle name="60% - Accent5 9" xfId="816" xr:uid="{00000000-0005-0000-0000-00001A060000}"/>
    <cellStyle name="60% - Accent6 10" xfId="817" xr:uid="{00000000-0005-0000-0000-00001B060000}"/>
    <cellStyle name="60% - Accent6 2" xfId="818" xr:uid="{00000000-0005-0000-0000-00001C060000}"/>
    <cellStyle name="60% - Accent6 2 2" xfId="819" xr:uid="{00000000-0005-0000-0000-00001D060000}"/>
    <cellStyle name="60% - Accent6 2 3" xfId="820" xr:uid="{00000000-0005-0000-0000-00001E060000}"/>
    <cellStyle name="60% - Accent6 2 4" xfId="821" xr:uid="{00000000-0005-0000-0000-00001F060000}"/>
    <cellStyle name="60% - Accent6 2 5" xfId="822" xr:uid="{00000000-0005-0000-0000-000020060000}"/>
    <cellStyle name="60% - Accent6 2 6" xfId="823" xr:uid="{00000000-0005-0000-0000-000021060000}"/>
    <cellStyle name="60% - Accent6 2 7" xfId="824" xr:uid="{00000000-0005-0000-0000-000022060000}"/>
    <cellStyle name="60% - Accent6 2 8" xfId="825" xr:uid="{00000000-0005-0000-0000-000023060000}"/>
    <cellStyle name="60% - Accent6 3" xfId="826" xr:uid="{00000000-0005-0000-0000-000024060000}"/>
    <cellStyle name="60% - Accent6 3 2" xfId="827" xr:uid="{00000000-0005-0000-0000-000025060000}"/>
    <cellStyle name="60% - Accent6 4" xfId="828" xr:uid="{00000000-0005-0000-0000-000026060000}"/>
    <cellStyle name="60% - Accent6 4 2" xfId="829" xr:uid="{00000000-0005-0000-0000-000027060000}"/>
    <cellStyle name="60% - Accent6 5" xfId="830" xr:uid="{00000000-0005-0000-0000-000028060000}"/>
    <cellStyle name="60% - Accent6 5 2" xfId="831" xr:uid="{00000000-0005-0000-0000-000029060000}"/>
    <cellStyle name="60% - Accent6 6" xfId="832" xr:uid="{00000000-0005-0000-0000-00002A060000}"/>
    <cellStyle name="60% - Accent6 6 2" xfId="833" xr:uid="{00000000-0005-0000-0000-00002B060000}"/>
    <cellStyle name="60% - Accent6 7" xfId="834" xr:uid="{00000000-0005-0000-0000-00002C060000}"/>
    <cellStyle name="60% - Accent6 7 2" xfId="835" xr:uid="{00000000-0005-0000-0000-00002D060000}"/>
    <cellStyle name="60% - Accent6 8" xfId="836" xr:uid="{00000000-0005-0000-0000-00002E060000}"/>
    <cellStyle name="60% - Accent6 8 2" xfId="837" xr:uid="{00000000-0005-0000-0000-00002F060000}"/>
    <cellStyle name="60% - Accent6 9" xfId="838" xr:uid="{00000000-0005-0000-0000-000030060000}"/>
    <cellStyle name="Accent1 10" xfId="839" xr:uid="{00000000-0005-0000-0000-000031060000}"/>
    <cellStyle name="Accent1 2" xfId="840" xr:uid="{00000000-0005-0000-0000-000032060000}"/>
    <cellStyle name="Accent1 2 2" xfId="841" xr:uid="{00000000-0005-0000-0000-000033060000}"/>
    <cellStyle name="Accent1 2 3" xfId="842" xr:uid="{00000000-0005-0000-0000-000034060000}"/>
    <cellStyle name="Accent1 2 4" xfId="843" xr:uid="{00000000-0005-0000-0000-000035060000}"/>
    <cellStyle name="Accent1 2 5" xfId="844" xr:uid="{00000000-0005-0000-0000-000036060000}"/>
    <cellStyle name="Accent1 2 6" xfId="845" xr:uid="{00000000-0005-0000-0000-000037060000}"/>
    <cellStyle name="Accent1 2 7" xfId="846" xr:uid="{00000000-0005-0000-0000-000038060000}"/>
    <cellStyle name="Accent1 2 8" xfId="847" xr:uid="{00000000-0005-0000-0000-000039060000}"/>
    <cellStyle name="Accent1 3" xfId="848" xr:uid="{00000000-0005-0000-0000-00003A060000}"/>
    <cellStyle name="Accent1 3 2" xfId="849" xr:uid="{00000000-0005-0000-0000-00003B060000}"/>
    <cellStyle name="Accent1 4" xfId="850" xr:uid="{00000000-0005-0000-0000-00003C060000}"/>
    <cellStyle name="Accent1 4 2" xfId="851" xr:uid="{00000000-0005-0000-0000-00003D060000}"/>
    <cellStyle name="Accent1 5" xfId="852" xr:uid="{00000000-0005-0000-0000-00003E060000}"/>
    <cellStyle name="Accent1 5 2" xfId="853" xr:uid="{00000000-0005-0000-0000-00003F060000}"/>
    <cellStyle name="Accent1 6" xfId="854" xr:uid="{00000000-0005-0000-0000-000040060000}"/>
    <cellStyle name="Accent1 6 2" xfId="855" xr:uid="{00000000-0005-0000-0000-000041060000}"/>
    <cellStyle name="Accent1 7" xfId="856" xr:uid="{00000000-0005-0000-0000-000042060000}"/>
    <cellStyle name="Accent1 7 2" xfId="857" xr:uid="{00000000-0005-0000-0000-000043060000}"/>
    <cellStyle name="Accent1 8" xfId="858" xr:uid="{00000000-0005-0000-0000-000044060000}"/>
    <cellStyle name="Accent1 8 2" xfId="859" xr:uid="{00000000-0005-0000-0000-000045060000}"/>
    <cellStyle name="Accent1 9" xfId="860" xr:uid="{00000000-0005-0000-0000-000046060000}"/>
    <cellStyle name="Accent2 10" xfId="861" xr:uid="{00000000-0005-0000-0000-000047060000}"/>
    <cellStyle name="Accent2 2" xfId="862" xr:uid="{00000000-0005-0000-0000-000048060000}"/>
    <cellStyle name="Accent2 2 2" xfId="863" xr:uid="{00000000-0005-0000-0000-000049060000}"/>
    <cellStyle name="Accent2 2 3" xfId="864" xr:uid="{00000000-0005-0000-0000-00004A060000}"/>
    <cellStyle name="Accent2 2 4" xfId="865" xr:uid="{00000000-0005-0000-0000-00004B060000}"/>
    <cellStyle name="Accent2 2 5" xfId="866" xr:uid="{00000000-0005-0000-0000-00004C060000}"/>
    <cellStyle name="Accent2 2 6" xfId="867" xr:uid="{00000000-0005-0000-0000-00004D060000}"/>
    <cellStyle name="Accent2 2 7" xfId="868" xr:uid="{00000000-0005-0000-0000-00004E060000}"/>
    <cellStyle name="Accent2 2 8" xfId="869" xr:uid="{00000000-0005-0000-0000-00004F060000}"/>
    <cellStyle name="Accent2 3" xfId="870" xr:uid="{00000000-0005-0000-0000-000050060000}"/>
    <cellStyle name="Accent2 3 2" xfId="871" xr:uid="{00000000-0005-0000-0000-000051060000}"/>
    <cellStyle name="Accent2 4" xfId="872" xr:uid="{00000000-0005-0000-0000-000052060000}"/>
    <cellStyle name="Accent2 4 2" xfId="873" xr:uid="{00000000-0005-0000-0000-000053060000}"/>
    <cellStyle name="Accent2 5" xfId="874" xr:uid="{00000000-0005-0000-0000-000054060000}"/>
    <cellStyle name="Accent2 5 2" xfId="875" xr:uid="{00000000-0005-0000-0000-000055060000}"/>
    <cellStyle name="Accent2 6" xfId="876" xr:uid="{00000000-0005-0000-0000-000056060000}"/>
    <cellStyle name="Accent2 6 2" xfId="877" xr:uid="{00000000-0005-0000-0000-000057060000}"/>
    <cellStyle name="Accent2 7" xfId="878" xr:uid="{00000000-0005-0000-0000-000058060000}"/>
    <cellStyle name="Accent2 8" xfId="879" xr:uid="{00000000-0005-0000-0000-000059060000}"/>
    <cellStyle name="Accent2 9" xfId="880" xr:uid="{00000000-0005-0000-0000-00005A060000}"/>
    <cellStyle name="Accent3 10" xfId="881" xr:uid="{00000000-0005-0000-0000-00005B060000}"/>
    <cellStyle name="Accent3 2" xfId="882" xr:uid="{00000000-0005-0000-0000-00005C060000}"/>
    <cellStyle name="Accent3 2 2" xfId="883" xr:uid="{00000000-0005-0000-0000-00005D060000}"/>
    <cellStyle name="Accent3 2 3" xfId="884" xr:uid="{00000000-0005-0000-0000-00005E060000}"/>
    <cellStyle name="Accent3 2 4" xfId="885" xr:uid="{00000000-0005-0000-0000-00005F060000}"/>
    <cellStyle name="Accent3 2 5" xfId="886" xr:uid="{00000000-0005-0000-0000-000060060000}"/>
    <cellStyle name="Accent3 2 6" xfId="887" xr:uid="{00000000-0005-0000-0000-000061060000}"/>
    <cellStyle name="Accent3 2 7" xfId="888" xr:uid="{00000000-0005-0000-0000-000062060000}"/>
    <cellStyle name="Accent3 2 8" xfId="889" xr:uid="{00000000-0005-0000-0000-000063060000}"/>
    <cellStyle name="Accent3 3" xfId="890" xr:uid="{00000000-0005-0000-0000-000064060000}"/>
    <cellStyle name="Accent3 4" xfId="891" xr:uid="{00000000-0005-0000-0000-000065060000}"/>
    <cellStyle name="Accent3 5" xfId="892" xr:uid="{00000000-0005-0000-0000-000066060000}"/>
    <cellStyle name="Accent3 6" xfId="893" xr:uid="{00000000-0005-0000-0000-000067060000}"/>
    <cellStyle name="Accent3 7" xfId="894" xr:uid="{00000000-0005-0000-0000-000068060000}"/>
    <cellStyle name="Accent3 8" xfId="895" xr:uid="{00000000-0005-0000-0000-000069060000}"/>
    <cellStyle name="Accent3 9" xfId="896" xr:uid="{00000000-0005-0000-0000-00006A060000}"/>
    <cellStyle name="Accent4 10" xfId="897" xr:uid="{00000000-0005-0000-0000-00006B060000}"/>
    <cellStyle name="Accent4 2" xfId="898" xr:uid="{00000000-0005-0000-0000-00006C060000}"/>
    <cellStyle name="Accent4 2 2" xfId="899" xr:uid="{00000000-0005-0000-0000-00006D060000}"/>
    <cellStyle name="Accent4 2 3" xfId="900" xr:uid="{00000000-0005-0000-0000-00006E060000}"/>
    <cellStyle name="Accent4 2 4" xfId="901" xr:uid="{00000000-0005-0000-0000-00006F060000}"/>
    <cellStyle name="Accent4 2 5" xfId="902" xr:uid="{00000000-0005-0000-0000-000070060000}"/>
    <cellStyle name="Accent4 2 6" xfId="903" xr:uid="{00000000-0005-0000-0000-000071060000}"/>
    <cellStyle name="Accent4 2 7" xfId="904" xr:uid="{00000000-0005-0000-0000-000072060000}"/>
    <cellStyle name="Accent4 2 8" xfId="905" xr:uid="{00000000-0005-0000-0000-000073060000}"/>
    <cellStyle name="Accent4 3" xfId="906" xr:uid="{00000000-0005-0000-0000-000074060000}"/>
    <cellStyle name="Accent4 4" xfId="907" xr:uid="{00000000-0005-0000-0000-000075060000}"/>
    <cellStyle name="Accent4 5" xfId="908" xr:uid="{00000000-0005-0000-0000-000076060000}"/>
    <cellStyle name="Accent4 6" xfId="909" xr:uid="{00000000-0005-0000-0000-000077060000}"/>
    <cellStyle name="Accent4 7" xfId="910" xr:uid="{00000000-0005-0000-0000-000078060000}"/>
    <cellStyle name="Accent4 8" xfId="911" xr:uid="{00000000-0005-0000-0000-000079060000}"/>
    <cellStyle name="Accent4 9" xfId="912" xr:uid="{00000000-0005-0000-0000-00007A060000}"/>
    <cellStyle name="Accent5 2" xfId="914" xr:uid="{00000000-0005-0000-0000-00007B060000}"/>
    <cellStyle name="Accent5 2 2" xfId="915" xr:uid="{00000000-0005-0000-0000-00007C060000}"/>
    <cellStyle name="Accent5 2 3" xfId="916" xr:uid="{00000000-0005-0000-0000-00007D060000}"/>
    <cellStyle name="Accent5 2 4" xfId="917" xr:uid="{00000000-0005-0000-0000-00007E060000}"/>
    <cellStyle name="Accent5 2 5" xfId="918" xr:uid="{00000000-0005-0000-0000-00007F060000}"/>
    <cellStyle name="Accent5 2 6" xfId="919" xr:uid="{00000000-0005-0000-0000-000080060000}"/>
    <cellStyle name="Accent5 2 7" xfId="920" xr:uid="{00000000-0005-0000-0000-000081060000}"/>
    <cellStyle name="Accent5 2 8" xfId="921" xr:uid="{00000000-0005-0000-0000-000082060000}"/>
    <cellStyle name="Accent5 3" xfId="922" xr:uid="{00000000-0005-0000-0000-000083060000}"/>
    <cellStyle name="Accent5 4" xfId="923" xr:uid="{00000000-0005-0000-0000-000084060000}"/>
    <cellStyle name="Accent5 5" xfId="924" xr:uid="{00000000-0005-0000-0000-000085060000}"/>
    <cellStyle name="Accent5 6" xfId="925" xr:uid="{00000000-0005-0000-0000-000086060000}"/>
    <cellStyle name="Accent5 7" xfId="926" xr:uid="{00000000-0005-0000-0000-000087060000}"/>
    <cellStyle name="Accent5 8" xfId="927" xr:uid="{00000000-0005-0000-0000-000088060000}"/>
    <cellStyle name="Accent5 9" xfId="913" xr:uid="{00000000-0005-0000-0000-000089060000}"/>
    <cellStyle name="Accent6 10" xfId="928" xr:uid="{00000000-0005-0000-0000-00008A060000}"/>
    <cellStyle name="Accent6 2" xfId="929" xr:uid="{00000000-0005-0000-0000-00008B060000}"/>
    <cellStyle name="Accent6 2 2" xfId="930" xr:uid="{00000000-0005-0000-0000-00008C060000}"/>
    <cellStyle name="Accent6 2 3" xfId="931" xr:uid="{00000000-0005-0000-0000-00008D060000}"/>
    <cellStyle name="Accent6 2 4" xfId="932" xr:uid="{00000000-0005-0000-0000-00008E060000}"/>
    <cellStyle name="Accent6 2 5" xfId="933" xr:uid="{00000000-0005-0000-0000-00008F060000}"/>
    <cellStyle name="Accent6 2 6" xfId="934" xr:uid="{00000000-0005-0000-0000-000090060000}"/>
    <cellStyle name="Accent6 2 7" xfId="935" xr:uid="{00000000-0005-0000-0000-000091060000}"/>
    <cellStyle name="Accent6 2 8" xfId="936" xr:uid="{00000000-0005-0000-0000-000092060000}"/>
    <cellStyle name="Accent6 3" xfId="937" xr:uid="{00000000-0005-0000-0000-000093060000}"/>
    <cellStyle name="Accent6 4" xfId="938" xr:uid="{00000000-0005-0000-0000-000094060000}"/>
    <cellStyle name="Accent6 5" xfId="939" xr:uid="{00000000-0005-0000-0000-000095060000}"/>
    <cellStyle name="Accent6 6" xfId="940" xr:uid="{00000000-0005-0000-0000-000096060000}"/>
    <cellStyle name="Accent6 7" xfId="941" xr:uid="{00000000-0005-0000-0000-000097060000}"/>
    <cellStyle name="Accent6 8" xfId="942" xr:uid="{00000000-0005-0000-0000-000098060000}"/>
    <cellStyle name="Accent6 9" xfId="943" xr:uid="{00000000-0005-0000-0000-000099060000}"/>
    <cellStyle name="Bad 10" xfId="944" xr:uid="{00000000-0005-0000-0000-00009A060000}"/>
    <cellStyle name="Bad 2" xfId="945" xr:uid="{00000000-0005-0000-0000-00009B060000}"/>
    <cellStyle name="Bad 2 2" xfId="946" xr:uid="{00000000-0005-0000-0000-00009C060000}"/>
    <cellStyle name="Bad 2 3" xfId="947" xr:uid="{00000000-0005-0000-0000-00009D060000}"/>
    <cellStyle name="Bad 2 4" xfId="948" xr:uid="{00000000-0005-0000-0000-00009E060000}"/>
    <cellStyle name="Bad 2 5" xfId="949" xr:uid="{00000000-0005-0000-0000-00009F060000}"/>
    <cellStyle name="Bad 2 6" xfId="950" xr:uid="{00000000-0005-0000-0000-0000A0060000}"/>
    <cellStyle name="Bad 2 7" xfId="951" xr:uid="{00000000-0005-0000-0000-0000A1060000}"/>
    <cellStyle name="Bad 2 8" xfId="952" xr:uid="{00000000-0005-0000-0000-0000A2060000}"/>
    <cellStyle name="Bad 3" xfId="953" xr:uid="{00000000-0005-0000-0000-0000A3060000}"/>
    <cellStyle name="Bad 4" xfId="954" xr:uid="{00000000-0005-0000-0000-0000A4060000}"/>
    <cellStyle name="Bad 5" xfId="955" xr:uid="{00000000-0005-0000-0000-0000A5060000}"/>
    <cellStyle name="Bad 6" xfId="956" xr:uid="{00000000-0005-0000-0000-0000A6060000}"/>
    <cellStyle name="Bad 7" xfId="957" xr:uid="{00000000-0005-0000-0000-0000A7060000}"/>
    <cellStyle name="Bad 8" xfId="958" xr:uid="{00000000-0005-0000-0000-0000A8060000}"/>
    <cellStyle name="Bad 9" xfId="959" xr:uid="{00000000-0005-0000-0000-0000A9060000}"/>
    <cellStyle name="Bold GHG Numbers (0.00)" xfId="960" xr:uid="{00000000-0005-0000-0000-0000AA060000}"/>
    <cellStyle name="Calculation 2" xfId="962" xr:uid="{00000000-0005-0000-0000-0000AB060000}"/>
    <cellStyle name="Calculation 2 10" xfId="1438" xr:uid="{00000000-0005-0000-0000-0000AC060000}"/>
    <cellStyle name="Calculation 2 10 2" xfId="1939" xr:uid="{00000000-0005-0000-0000-0000AD060000}"/>
    <cellStyle name="Calculation 2 10 2 2" xfId="3479" xr:uid="{00000000-0005-0000-0000-0000AE060000}"/>
    <cellStyle name="Calculation 2 10 2 2 2" xfId="7541" xr:uid="{00000000-0005-0000-0000-0000AF060000}"/>
    <cellStyle name="Calculation 2 10 2 2 2 2" xfId="23505" xr:uid="{00000000-0005-0000-0000-0000B0060000}"/>
    <cellStyle name="Calculation 2 10 2 2 3" xfId="13816" xr:uid="{00000000-0005-0000-0000-0000B1060000}"/>
    <cellStyle name="Calculation 2 10 2 2 3 2" xfId="28648" xr:uid="{00000000-0005-0000-0000-0000B2060000}"/>
    <cellStyle name="Calculation 2 10 2 2 4" xfId="21181" xr:uid="{00000000-0005-0000-0000-0000B3060000}"/>
    <cellStyle name="Calculation 2 10 2 3" xfId="4918" xr:uid="{00000000-0005-0000-0000-0000B4060000}"/>
    <cellStyle name="Calculation 2 10 2 3 2" xfId="8957" xr:uid="{00000000-0005-0000-0000-0000B5060000}"/>
    <cellStyle name="Calculation 2 10 2 3 2 2" xfId="24423" xr:uid="{00000000-0005-0000-0000-0000B6060000}"/>
    <cellStyle name="Calculation 2 10 2 3 3" xfId="15240" xr:uid="{00000000-0005-0000-0000-0000B7060000}"/>
    <cellStyle name="Calculation 2 10 2 3 3 2" xfId="30072" xr:uid="{00000000-0005-0000-0000-0000B8060000}"/>
    <cellStyle name="Calculation 2 10 2 3 4" xfId="21953" xr:uid="{00000000-0005-0000-0000-0000B9060000}"/>
    <cellStyle name="Calculation 2 10 2 4" xfId="2908" xr:uid="{00000000-0005-0000-0000-0000BA060000}"/>
    <cellStyle name="Calculation 2 10 2 4 2" xfId="6992" xr:uid="{00000000-0005-0000-0000-0000BB060000}"/>
    <cellStyle name="Calculation 2 10 2 4 2 2" xfId="23166" xr:uid="{00000000-0005-0000-0000-0000BC060000}"/>
    <cellStyle name="Calculation 2 10 2 4 3" xfId="13246" xr:uid="{00000000-0005-0000-0000-0000BD060000}"/>
    <cellStyle name="Calculation 2 10 2 4 3 2" xfId="28078" xr:uid="{00000000-0005-0000-0000-0000BE060000}"/>
    <cellStyle name="Calculation 2 10 2 4 4" xfId="20834" xr:uid="{00000000-0005-0000-0000-0000BF060000}"/>
    <cellStyle name="Calculation 2 10 2 5" xfId="6069" xr:uid="{00000000-0005-0000-0000-0000C0060000}"/>
    <cellStyle name="Calculation 2 10 2 5 2" xfId="16256" xr:uid="{00000000-0005-0000-0000-0000C1060000}"/>
    <cellStyle name="Calculation 2 10 2 5 2 2" xfId="31088" xr:uid="{00000000-0005-0000-0000-0000C2060000}"/>
    <cellStyle name="Calculation 2 10 2 5 3" xfId="22602" xr:uid="{00000000-0005-0000-0000-0000C3060000}"/>
    <cellStyle name="Calculation 2 10 2 6" xfId="12326" xr:uid="{00000000-0005-0000-0000-0000C4060000}"/>
    <cellStyle name="Calculation 2 10 2 6 2" xfId="27158" xr:uid="{00000000-0005-0000-0000-0000C5060000}"/>
    <cellStyle name="Calculation 2 10 2 7" xfId="9923" xr:uid="{00000000-0005-0000-0000-0000C6060000}"/>
    <cellStyle name="Calculation 2 10 2 7 2" xfId="20125" xr:uid="{00000000-0005-0000-0000-0000C7060000}"/>
    <cellStyle name="Calculation 2 10 3" xfId="3896" xr:uid="{00000000-0005-0000-0000-0000C8060000}"/>
    <cellStyle name="Calculation 2 10 3 2" xfId="7947" xr:uid="{00000000-0005-0000-0000-0000C9060000}"/>
    <cellStyle name="Calculation 2 10 3 2 2" xfId="23767" xr:uid="{00000000-0005-0000-0000-0000CA060000}"/>
    <cellStyle name="Calculation 2 10 3 3" xfId="14229" xr:uid="{00000000-0005-0000-0000-0000CB060000}"/>
    <cellStyle name="Calculation 2 10 3 3 2" xfId="29061" xr:uid="{00000000-0005-0000-0000-0000CC060000}"/>
    <cellStyle name="Calculation 2 10 3 4" xfId="21408" xr:uid="{00000000-0005-0000-0000-0000CD060000}"/>
    <cellStyle name="Calculation 2 10 4" xfId="4498" xr:uid="{00000000-0005-0000-0000-0000CE060000}"/>
    <cellStyle name="Calculation 2 10 4 2" xfId="8537" xr:uid="{00000000-0005-0000-0000-0000CF060000}"/>
    <cellStyle name="Calculation 2 10 4 2 2" xfId="24163" xr:uid="{00000000-0005-0000-0000-0000D0060000}"/>
    <cellStyle name="Calculation 2 10 4 3" xfId="14825" xr:uid="{00000000-0005-0000-0000-0000D1060000}"/>
    <cellStyle name="Calculation 2 10 4 3 2" xfId="29657" xr:uid="{00000000-0005-0000-0000-0000D2060000}"/>
    <cellStyle name="Calculation 2 10 4 4" xfId="21723" xr:uid="{00000000-0005-0000-0000-0000D3060000}"/>
    <cellStyle name="Calculation 2 10 5" xfId="2488" xr:uid="{00000000-0005-0000-0000-0000D4060000}"/>
    <cellStyle name="Calculation 2 10 5 2" xfId="6594" xr:uid="{00000000-0005-0000-0000-0000D5060000}"/>
    <cellStyle name="Calculation 2 10 5 2 2" xfId="22932" xr:uid="{00000000-0005-0000-0000-0000D6060000}"/>
    <cellStyle name="Calculation 2 10 5 3" xfId="12826" xr:uid="{00000000-0005-0000-0000-0000D7060000}"/>
    <cellStyle name="Calculation 2 10 5 3 2" xfId="27658" xr:uid="{00000000-0005-0000-0000-0000D8060000}"/>
    <cellStyle name="Calculation 2 10 5 4" xfId="20578" xr:uid="{00000000-0005-0000-0000-0000D9060000}"/>
    <cellStyle name="Calculation 2 10 6" xfId="5611" xr:uid="{00000000-0005-0000-0000-0000DA060000}"/>
    <cellStyle name="Calculation 2 10 6 2" xfId="15846" xr:uid="{00000000-0005-0000-0000-0000DB060000}"/>
    <cellStyle name="Calculation 2 10 6 2 2" xfId="30678" xr:uid="{00000000-0005-0000-0000-0000DC060000}"/>
    <cellStyle name="Calculation 2 10 6 3" xfId="22307" xr:uid="{00000000-0005-0000-0000-0000DD060000}"/>
    <cellStyle name="Calculation 2 10 7" xfId="11855" xr:uid="{00000000-0005-0000-0000-0000DE060000}"/>
    <cellStyle name="Calculation 2 10 7 2" xfId="26687" xr:uid="{00000000-0005-0000-0000-0000DF060000}"/>
    <cellStyle name="Calculation 2 10 8" xfId="9528" xr:uid="{00000000-0005-0000-0000-0000E0060000}"/>
    <cellStyle name="Calculation 2 10 8 2" xfId="19830" xr:uid="{00000000-0005-0000-0000-0000E1060000}"/>
    <cellStyle name="Calculation 2 11" xfId="1416" xr:uid="{00000000-0005-0000-0000-0000E2060000}"/>
    <cellStyle name="Calculation 2 11 2" xfId="1918" xr:uid="{00000000-0005-0000-0000-0000E3060000}"/>
    <cellStyle name="Calculation 2 11 2 2" xfId="4029" xr:uid="{00000000-0005-0000-0000-0000E4060000}"/>
    <cellStyle name="Calculation 2 11 2 2 2" xfId="8076" xr:uid="{00000000-0005-0000-0000-0000E5060000}"/>
    <cellStyle name="Calculation 2 11 2 2 2 2" xfId="23845" xr:uid="{00000000-0005-0000-0000-0000E6060000}"/>
    <cellStyle name="Calculation 2 11 2 2 3" xfId="14361" xr:uid="{00000000-0005-0000-0000-0000E7060000}"/>
    <cellStyle name="Calculation 2 11 2 2 3 2" xfId="29193" xr:uid="{00000000-0005-0000-0000-0000E8060000}"/>
    <cellStyle name="Calculation 2 11 2 2 4" xfId="21483" xr:uid="{00000000-0005-0000-0000-0000E9060000}"/>
    <cellStyle name="Calculation 2 11 2 3" xfId="4896" xr:uid="{00000000-0005-0000-0000-0000EA060000}"/>
    <cellStyle name="Calculation 2 11 2 3 2" xfId="8935" xr:uid="{00000000-0005-0000-0000-0000EB060000}"/>
    <cellStyle name="Calculation 2 11 2 3 2 2" xfId="24401" xr:uid="{00000000-0005-0000-0000-0000EC060000}"/>
    <cellStyle name="Calculation 2 11 2 3 3" xfId="15219" xr:uid="{00000000-0005-0000-0000-0000ED060000}"/>
    <cellStyle name="Calculation 2 11 2 3 3 2" xfId="30051" xr:uid="{00000000-0005-0000-0000-0000EE060000}"/>
    <cellStyle name="Calculation 2 11 2 3 4" xfId="21933" xr:uid="{00000000-0005-0000-0000-0000EF060000}"/>
    <cellStyle name="Calculation 2 11 2 4" xfId="2886" xr:uid="{00000000-0005-0000-0000-0000F0060000}"/>
    <cellStyle name="Calculation 2 11 2 4 2" xfId="6971" xr:uid="{00000000-0005-0000-0000-0000F1060000}"/>
    <cellStyle name="Calculation 2 11 2 4 2 2" xfId="23146" xr:uid="{00000000-0005-0000-0000-0000F2060000}"/>
    <cellStyle name="Calculation 2 11 2 4 3" xfId="13224" xr:uid="{00000000-0005-0000-0000-0000F3060000}"/>
    <cellStyle name="Calculation 2 11 2 4 3 2" xfId="28056" xr:uid="{00000000-0005-0000-0000-0000F4060000}"/>
    <cellStyle name="Calculation 2 11 2 4 4" xfId="20812" xr:uid="{00000000-0005-0000-0000-0000F5060000}"/>
    <cellStyle name="Calculation 2 11 2 5" xfId="6049" xr:uid="{00000000-0005-0000-0000-0000F6060000}"/>
    <cellStyle name="Calculation 2 11 2 5 2" xfId="16236" xr:uid="{00000000-0005-0000-0000-0000F7060000}"/>
    <cellStyle name="Calculation 2 11 2 5 2 2" xfId="31068" xr:uid="{00000000-0005-0000-0000-0000F8060000}"/>
    <cellStyle name="Calculation 2 11 2 5 3" xfId="22582" xr:uid="{00000000-0005-0000-0000-0000F9060000}"/>
    <cellStyle name="Calculation 2 11 2 6" xfId="12306" xr:uid="{00000000-0005-0000-0000-0000FA060000}"/>
    <cellStyle name="Calculation 2 11 2 6 2" xfId="27138" xr:uid="{00000000-0005-0000-0000-0000FB060000}"/>
    <cellStyle name="Calculation 2 11 2 7" xfId="9902" xr:uid="{00000000-0005-0000-0000-0000FC060000}"/>
    <cellStyle name="Calculation 2 11 2 7 2" xfId="20105" xr:uid="{00000000-0005-0000-0000-0000FD060000}"/>
    <cellStyle name="Calculation 2 11 3" xfId="4128" xr:uid="{00000000-0005-0000-0000-0000FE060000}"/>
    <cellStyle name="Calculation 2 11 3 2" xfId="8172" xr:uid="{00000000-0005-0000-0000-0000FF060000}"/>
    <cellStyle name="Calculation 2 11 3 2 2" xfId="23906" xr:uid="{00000000-0005-0000-0000-000000070000}"/>
    <cellStyle name="Calculation 2 11 3 3" xfId="14460" xr:uid="{00000000-0005-0000-0000-000001070000}"/>
    <cellStyle name="Calculation 2 11 3 3 2" xfId="29292" xr:uid="{00000000-0005-0000-0000-000002070000}"/>
    <cellStyle name="Calculation 2 11 3 4" xfId="21533" xr:uid="{00000000-0005-0000-0000-000003070000}"/>
    <cellStyle name="Calculation 2 11 4" xfId="4476" xr:uid="{00000000-0005-0000-0000-000004070000}"/>
    <cellStyle name="Calculation 2 11 4 2" xfId="8515" xr:uid="{00000000-0005-0000-0000-000005070000}"/>
    <cellStyle name="Calculation 2 11 4 2 2" xfId="24141" xr:uid="{00000000-0005-0000-0000-000006070000}"/>
    <cellStyle name="Calculation 2 11 4 3" xfId="14804" xr:uid="{00000000-0005-0000-0000-000007070000}"/>
    <cellStyle name="Calculation 2 11 4 3 2" xfId="29636" xr:uid="{00000000-0005-0000-0000-000008070000}"/>
    <cellStyle name="Calculation 2 11 4 4" xfId="21703" xr:uid="{00000000-0005-0000-0000-000009070000}"/>
    <cellStyle name="Calculation 2 11 5" xfId="2466" xr:uid="{00000000-0005-0000-0000-00000A070000}"/>
    <cellStyle name="Calculation 2 11 5 2" xfId="6572" xr:uid="{00000000-0005-0000-0000-00000B070000}"/>
    <cellStyle name="Calculation 2 11 5 2 2" xfId="22910" xr:uid="{00000000-0005-0000-0000-00000C070000}"/>
    <cellStyle name="Calculation 2 11 5 3" xfId="12805" xr:uid="{00000000-0005-0000-0000-00000D070000}"/>
    <cellStyle name="Calculation 2 11 5 3 2" xfId="27637" xr:uid="{00000000-0005-0000-0000-00000E070000}"/>
    <cellStyle name="Calculation 2 11 5 4" xfId="20558" xr:uid="{00000000-0005-0000-0000-00000F070000}"/>
    <cellStyle name="Calculation 2 11 6" xfId="5590" xr:uid="{00000000-0005-0000-0000-000010070000}"/>
    <cellStyle name="Calculation 2 11 6 2" xfId="15825" xr:uid="{00000000-0005-0000-0000-000011070000}"/>
    <cellStyle name="Calculation 2 11 6 2 2" xfId="30657" xr:uid="{00000000-0005-0000-0000-000012070000}"/>
    <cellStyle name="Calculation 2 11 6 3" xfId="22286" xr:uid="{00000000-0005-0000-0000-000013070000}"/>
    <cellStyle name="Calculation 2 11 7" xfId="11835" xr:uid="{00000000-0005-0000-0000-000014070000}"/>
    <cellStyle name="Calculation 2 11 7 2" xfId="26667" xr:uid="{00000000-0005-0000-0000-000015070000}"/>
    <cellStyle name="Calculation 2 11 8" xfId="9507" xr:uid="{00000000-0005-0000-0000-000016070000}"/>
    <cellStyle name="Calculation 2 11 8 2" xfId="19810" xr:uid="{00000000-0005-0000-0000-000017070000}"/>
    <cellStyle name="Calculation 2 12" xfId="1424" xr:uid="{00000000-0005-0000-0000-000018070000}"/>
    <cellStyle name="Calculation 2 12 2" xfId="1925" xr:uid="{00000000-0005-0000-0000-000019070000}"/>
    <cellStyle name="Calculation 2 12 2 2" xfId="4127" xr:uid="{00000000-0005-0000-0000-00001A070000}"/>
    <cellStyle name="Calculation 2 12 2 2 2" xfId="8171" xr:uid="{00000000-0005-0000-0000-00001B070000}"/>
    <cellStyle name="Calculation 2 12 2 2 2 2" xfId="23905" xr:uid="{00000000-0005-0000-0000-00001C070000}"/>
    <cellStyle name="Calculation 2 12 2 2 3" xfId="14459" xr:uid="{00000000-0005-0000-0000-00001D070000}"/>
    <cellStyle name="Calculation 2 12 2 2 3 2" xfId="29291" xr:uid="{00000000-0005-0000-0000-00001E070000}"/>
    <cellStyle name="Calculation 2 12 2 2 4" xfId="21532" xr:uid="{00000000-0005-0000-0000-00001F070000}"/>
    <cellStyle name="Calculation 2 12 2 3" xfId="4904" xr:uid="{00000000-0005-0000-0000-000020070000}"/>
    <cellStyle name="Calculation 2 12 2 3 2" xfId="8943" xr:uid="{00000000-0005-0000-0000-000021070000}"/>
    <cellStyle name="Calculation 2 12 2 3 2 2" xfId="24409" xr:uid="{00000000-0005-0000-0000-000022070000}"/>
    <cellStyle name="Calculation 2 12 2 3 3" xfId="15226" xr:uid="{00000000-0005-0000-0000-000023070000}"/>
    <cellStyle name="Calculation 2 12 2 3 3 2" xfId="30058" xr:uid="{00000000-0005-0000-0000-000024070000}"/>
    <cellStyle name="Calculation 2 12 2 3 4" xfId="21939" xr:uid="{00000000-0005-0000-0000-000025070000}"/>
    <cellStyle name="Calculation 2 12 2 4" xfId="2894" xr:uid="{00000000-0005-0000-0000-000026070000}"/>
    <cellStyle name="Calculation 2 12 2 4 2" xfId="6978" xr:uid="{00000000-0005-0000-0000-000027070000}"/>
    <cellStyle name="Calculation 2 12 2 4 2 2" xfId="23152" xr:uid="{00000000-0005-0000-0000-000028070000}"/>
    <cellStyle name="Calculation 2 12 2 4 3" xfId="13232" xr:uid="{00000000-0005-0000-0000-000029070000}"/>
    <cellStyle name="Calculation 2 12 2 4 3 2" xfId="28064" xr:uid="{00000000-0005-0000-0000-00002A070000}"/>
    <cellStyle name="Calculation 2 12 2 4 4" xfId="20820" xr:uid="{00000000-0005-0000-0000-00002B070000}"/>
    <cellStyle name="Calculation 2 12 2 5" xfId="6055" xr:uid="{00000000-0005-0000-0000-00002C070000}"/>
    <cellStyle name="Calculation 2 12 2 5 2" xfId="16242" xr:uid="{00000000-0005-0000-0000-00002D070000}"/>
    <cellStyle name="Calculation 2 12 2 5 2 2" xfId="31074" xr:uid="{00000000-0005-0000-0000-00002E070000}"/>
    <cellStyle name="Calculation 2 12 2 5 3" xfId="22588" xr:uid="{00000000-0005-0000-0000-00002F070000}"/>
    <cellStyle name="Calculation 2 12 2 6" xfId="12312" xr:uid="{00000000-0005-0000-0000-000030070000}"/>
    <cellStyle name="Calculation 2 12 2 6 2" xfId="27144" xr:uid="{00000000-0005-0000-0000-000031070000}"/>
    <cellStyle name="Calculation 2 12 2 7" xfId="9909" xr:uid="{00000000-0005-0000-0000-000032070000}"/>
    <cellStyle name="Calculation 2 12 2 7 2" xfId="20111" xr:uid="{00000000-0005-0000-0000-000033070000}"/>
    <cellStyle name="Calculation 2 12 3" xfId="4013" xr:uid="{00000000-0005-0000-0000-000034070000}"/>
    <cellStyle name="Calculation 2 12 3 2" xfId="8060" xr:uid="{00000000-0005-0000-0000-000035070000}"/>
    <cellStyle name="Calculation 2 12 3 2 2" xfId="23837" xr:uid="{00000000-0005-0000-0000-000036070000}"/>
    <cellStyle name="Calculation 2 12 3 3" xfId="14345" xr:uid="{00000000-0005-0000-0000-000037070000}"/>
    <cellStyle name="Calculation 2 12 3 3 2" xfId="29177" xr:uid="{00000000-0005-0000-0000-000038070000}"/>
    <cellStyle name="Calculation 2 12 3 4" xfId="21475" xr:uid="{00000000-0005-0000-0000-000039070000}"/>
    <cellStyle name="Calculation 2 12 4" xfId="4484" xr:uid="{00000000-0005-0000-0000-00003A070000}"/>
    <cellStyle name="Calculation 2 12 4 2" xfId="8523" xr:uid="{00000000-0005-0000-0000-00003B070000}"/>
    <cellStyle name="Calculation 2 12 4 2 2" xfId="24149" xr:uid="{00000000-0005-0000-0000-00003C070000}"/>
    <cellStyle name="Calculation 2 12 4 3" xfId="14811" xr:uid="{00000000-0005-0000-0000-00003D070000}"/>
    <cellStyle name="Calculation 2 12 4 3 2" xfId="29643" xr:uid="{00000000-0005-0000-0000-00003E070000}"/>
    <cellStyle name="Calculation 2 12 4 4" xfId="21709" xr:uid="{00000000-0005-0000-0000-00003F070000}"/>
    <cellStyle name="Calculation 2 12 5" xfId="2474" xr:uid="{00000000-0005-0000-0000-000040070000}"/>
    <cellStyle name="Calculation 2 12 5 2" xfId="6580" xr:uid="{00000000-0005-0000-0000-000041070000}"/>
    <cellStyle name="Calculation 2 12 5 2 2" xfId="22918" xr:uid="{00000000-0005-0000-0000-000042070000}"/>
    <cellStyle name="Calculation 2 12 5 3" xfId="12812" xr:uid="{00000000-0005-0000-0000-000043070000}"/>
    <cellStyle name="Calculation 2 12 5 3 2" xfId="27644" xr:uid="{00000000-0005-0000-0000-000044070000}"/>
    <cellStyle name="Calculation 2 12 5 4" xfId="20564" xr:uid="{00000000-0005-0000-0000-000045070000}"/>
    <cellStyle name="Calculation 2 12 6" xfId="5597" xr:uid="{00000000-0005-0000-0000-000046070000}"/>
    <cellStyle name="Calculation 2 12 6 2" xfId="15832" xr:uid="{00000000-0005-0000-0000-000047070000}"/>
    <cellStyle name="Calculation 2 12 6 2 2" xfId="30664" xr:uid="{00000000-0005-0000-0000-000048070000}"/>
    <cellStyle name="Calculation 2 12 6 3" xfId="22293" xr:uid="{00000000-0005-0000-0000-000049070000}"/>
    <cellStyle name="Calculation 2 12 7" xfId="11841" xr:uid="{00000000-0005-0000-0000-00004A070000}"/>
    <cellStyle name="Calculation 2 12 7 2" xfId="26673" xr:uid="{00000000-0005-0000-0000-00004B070000}"/>
    <cellStyle name="Calculation 2 12 8" xfId="9514" xr:uid="{00000000-0005-0000-0000-00004C070000}"/>
    <cellStyle name="Calculation 2 12 8 2" xfId="19816" xr:uid="{00000000-0005-0000-0000-00004D070000}"/>
    <cellStyle name="Calculation 2 13" xfId="1715" xr:uid="{00000000-0005-0000-0000-00004E070000}"/>
    <cellStyle name="Calculation 2 13 2" xfId="3928" xr:uid="{00000000-0005-0000-0000-00004F070000}"/>
    <cellStyle name="Calculation 2 13 2 2" xfId="7978" xr:uid="{00000000-0005-0000-0000-000050070000}"/>
    <cellStyle name="Calculation 2 13 2 2 2" xfId="23784" xr:uid="{00000000-0005-0000-0000-000051070000}"/>
    <cellStyle name="Calculation 2 13 2 3" xfId="14261" xr:uid="{00000000-0005-0000-0000-000052070000}"/>
    <cellStyle name="Calculation 2 13 2 3 2" xfId="29093" xr:uid="{00000000-0005-0000-0000-000053070000}"/>
    <cellStyle name="Calculation 2 13 2 4" xfId="21426" xr:uid="{00000000-0005-0000-0000-000054070000}"/>
    <cellStyle name="Calculation 2 13 3" xfId="4708" xr:uid="{00000000-0005-0000-0000-000055070000}"/>
    <cellStyle name="Calculation 2 13 3 2" xfId="8747" xr:uid="{00000000-0005-0000-0000-000056070000}"/>
    <cellStyle name="Calculation 2 13 3 2 2" xfId="24277" xr:uid="{00000000-0005-0000-0000-000057070000}"/>
    <cellStyle name="Calculation 2 13 3 3" xfId="15032" xr:uid="{00000000-0005-0000-0000-000058070000}"/>
    <cellStyle name="Calculation 2 13 3 3 2" xfId="29864" xr:uid="{00000000-0005-0000-0000-000059070000}"/>
    <cellStyle name="Calculation 2 13 3 4" xfId="21815" xr:uid="{00000000-0005-0000-0000-00005A070000}"/>
    <cellStyle name="Calculation 2 13 4" xfId="2698" xr:uid="{00000000-0005-0000-0000-00005B070000}"/>
    <cellStyle name="Calculation 2 13 4 2" xfId="6789" xr:uid="{00000000-0005-0000-0000-00005C070000}"/>
    <cellStyle name="Calculation 2 13 4 2 2" xfId="23028" xr:uid="{00000000-0005-0000-0000-00005D070000}"/>
    <cellStyle name="Calculation 2 13 4 3" xfId="13036" xr:uid="{00000000-0005-0000-0000-00005E070000}"/>
    <cellStyle name="Calculation 2 13 4 3 2" xfId="27868" xr:uid="{00000000-0005-0000-0000-00005F070000}"/>
    <cellStyle name="Calculation 2 13 4 4" xfId="20688" xr:uid="{00000000-0005-0000-0000-000060070000}"/>
    <cellStyle name="Calculation 2 13 5" xfId="5847" xr:uid="{00000000-0005-0000-0000-000061070000}"/>
    <cellStyle name="Calculation 2 13 5 2" xfId="16039" xr:uid="{00000000-0005-0000-0000-000062070000}"/>
    <cellStyle name="Calculation 2 13 5 2 2" xfId="30871" xr:uid="{00000000-0005-0000-0000-000063070000}"/>
    <cellStyle name="Calculation 2 13 5 3" xfId="22444" xr:uid="{00000000-0005-0000-0000-000064070000}"/>
    <cellStyle name="Calculation 2 13 6" xfId="12109" xr:uid="{00000000-0005-0000-0000-000065070000}"/>
    <cellStyle name="Calculation 2 13 6 2" xfId="26941" xr:uid="{00000000-0005-0000-0000-000066070000}"/>
    <cellStyle name="Calculation 2 13 7" xfId="9720" xr:uid="{00000000-0005-0000-0000-000067070000}"/>
    <cellStyle name="Calculation 2 13 7 2" xfId="20018" xr:uid="{00000000-0005-0000-0000-000068070000}"/>
    <cellStyle name="Calculation 2 14" xfId="2236" xr:uid="{00000000-0005-0000-0000-000069070000}"/>
    <cellStyle name="Calculation 2 14 2" xfId="3502" xr:uid="{00000000-0005-0000-0000-00006A070000}"/>
    <cellStyle name="Calculation 2 14 2 2" xfId="7564" xr:uid="{00000000-0005-0000-0000-00006B070000}"/>
    <cellStyle name="Calculation 2 14 2 2 2" xfId="23518" xr:uid="{00000000-0005-0000-0000-00006C070000}"/>
    <cellStyle name="Calculation 2 14 2 3" xfId="13839" xr:uid="{00000000-0005-0000-0000-00006D070000}"/>
    <cellStyle name="Calculation 2 14 2 3 2" xfId="28671" xr:uid="{00000000-0005-0000-0000-00006E070000}"/>
    <cellStyle name="Calculation 2 14 2 4" xfId="21193" xr:uid="{00000000-0005-0000-0000-00006F070000}"/>
    <cellStyle name="Calculation 2 14 3" xfId="5204" xr:uid="{00000000-0005-0000-0000-000070070000}"/>
    <cellStyle name="Calculation 2 14 3 2" xfId="9243" xr:uid="{00000000-0005-0000-0000-000071070000}"/>
    <cellStyle name="Calculation 2 14 3 2 2" xfId="24581" xr:uid="{00000000-0005-0000-0000-000072070000}"/>
    <cellStyle name="Calculation 2 14 3 3" xfId="15522" xr:uid="{00000000-0005-0000-0000-000073070000}"/>
    <cellStyle name="Calculation 2 14 3 3 2" xfId="30354" xr:uid="{00000000-0005-0000-0000-000074070000}"/>
    <cellStyle name="Calculation 2 14 3 4" xfId="22088" xr:uid="{00000000-0005-0000-0000-000075070000}"/>
    <cellStyle name="Calculation 2 14 4" xfId="4234" xr:uid="{00000000-0005-0000-0000-000076070000}"/>
    <cellStyle name="Calculation 2 14 4 2" xfId="8275" xr:uid="{00000000-0005-0000-0000-000077070000}"/>
    <cellStyle name="Calculation 2 14 4 2 2" xfId="23970" xr:uid="{00000000-0005-0000-0000-000078070000}"/>
    <cellStyle name="Calculation 2 14 4 3" xfId="14566" xr:uid="{00000000-0005-0000-0000-000079070000}"/>
    <cellStyle name="Calculation 2 14 4 3 2" xfId="29398" xr:uid="{00000000-0005-0000-0000-00007A070000}"/>
    <cellStyle name="Calculation 2 14 4 4" xfId="21595" xr:uid="{00000000-0005-0000-0000-00007B070000}"/>
    <cellStyle name="Calculation 2 14 5" xfId="6350" xr:uid="{00000000-0005-0000-0000-00007C070000}"/>
    <cellStyle name="Calculation 2 14 5 2" xfId="22752" xr:uid="{00000000-0005-0000-0000-00007D070000}"/>
    <cellStyle name="Calculation 2 14 6" xfId="12604" xr:uid="{00000000-0005-0000-0000-00007E070000}"/>
    <cellStyle name="Calculation 2 14 6 2" xfId="27436" xr:uid="{00000000-0005-0000-0000-00007F070000}"/>
    <cellStyle name="Calculation 2 14 7" xfId="20431" xr:uid="{00000000-0005-0000-0000-000080070000}"/>
    <cellStyle name="Calculation 2 15" xfId="3679" xr:uid="{00000000-0005-0000-0000-000081070000}"/>
    <cellStyle name="Calculation 2 15 2" xfId="7737" xr:uid="{00000000-0005-0000-0000-000082070000}"/>
    <cellStyle name="Calculation 2 15 2 2" xfId="23627" xr:uid="{00000000-0005-0000-0000-000083070000}"/>
    <cellStyle name="Calculation 2 15 3" xfId="14014" xr:uid="{00000000-0005-0000-0000-000084070000}"/>
    <cellStyle name="Calculation 2 15 3 2" xfId="28846" xr:uid="{00000000-0005-0000-0000-000085070000}"/>
    <cellStyle name="Calculation 2 15 4" xfId="21287" xr:uid="{00000000-0005-0000-0000-000086070000}"/>
    <cellStyle name="Calculation 2 16" xfId="3355" xr:uid="{00000000-0005-0000-0000-000087070000}"/>
    <cellStyle name="Calculation 2 16 2" xfId="7418" xr:uid="{00000000-0005-0000-0000-000088070000}"/>
    <cellStyle name="Calculation 2 16 2 2" xfId="23420" xr:uid="{00000000-0005-0000-0000-000089070000}"/>
    <cellStyle name="Calculation 2 16 3" xfId="13692" xr:uid="{00000000-0005-0000-0000-00008A070000}"/>
    <cellStyle name="Calculation 2 16 3 2" xfId="28524" xr:uid="{00000000-0005-0000-0000-00008B070000}"/>
    <cellStyle name="Calculation 2 16 4" xfId="21105" xr:uid="{00000000-0005-0000-0000-00008C070000}"/>
    <cellStyle name="Calculation 2 17" xfId="2268" xr:uid="{00000000-0005-0000-0000-00008D070000}"/>
    <cellStyle name="Calculation 2 17 2" xfId="6380" xr:uid="{00000000-0005-0000-0000-00008E070000}"/>
    <cellStyle name="Calculation 2 17 2 2" xfId="22782" xr:uid="{00000000-0005-0000-0000-00008F070000}"/>
    <cellStyle name="Calculation 2 17 3" xfId="12608" xr:uid="{00000000-0005-0000-0000-000090070000}"/>
    <cellStyle name="Calculation 2 17 3 2" xfId="27440" xr:uid="{00000000-0005-0000-0000-000091070000}"/>
    <cellStyle name="Calculation 2 17 4" xfId="20434" xr:uid="{00000000-0005-0000-0000-000092070000}"/>
    <cellStyle name="Calculation 2 18" xfId="5234" xr:uid="{00000000-0005-0000-0000-000093070000}"/>
    <cellStyle name="Calculation 2 18 2" xfId="15550" xr:uid="{00000000-0005-0000-0000-000094070000}"/>
    <cellStyle name="Calculation 2 18 2 2" xfId="30382" xr:uid="{00000000-0005-0000-0000-000095070000}"/>
    <cellStyle name="Calculation 2 18 3" xfId="22091" xr:uid="{00000000-0005-0000-0000-000096070000}"/>
    <cellStyle name="Calculation 2 19" xfId="5392" xr:uid="{00000000-0005-0000-0000-000097070000}"/>
    <cellStyle name="Calculation 2 19 2" xfId="15628" xr:uid="{00000000-0005-0000-0000-000098070000}"/>
    <cellStyle name="Calculation 2 19 2 2" xfId="30460" xr:uid="{00000000-0005-0000-0000-000099070000}"/>
    <cellStyle name="Calculation 2 19 3" xfId="22153" xr:uid="{00000000-0005-0000-0000-00009A070000}"/>
    <cellStyle name="Calculation 2 2" xfId="963" xr:uid="{00000000-0005-0000-0000-00009B070000}"/>
    <cellStyle name="Calculation 2 2 10" xfId="2269" xr:uid="{00000000-0005-0000-0000-00009C070000}"/>
    <cellStyle name="Calculation 2 2 10 2" xfId="6381" xr:uid="{00000000-0005-0000-0000-00009D070000}"/>
    <cellStyle name="Calculation 2 2 10 2 2" xfId="22783" xr:uid="{00000000-0005-0000-0000-00009E070000}"/>
    <cellStyle name="Calculation 2 2 10 3" xfId="12609" xr:uid="{00000000-0005-0000-0000-00009F070000}"/>
    <cellStyle name="Calculation 2 2 10 3 2" xfId="27441" xr:uid="{00000000-0005-0000-0000-0000A0070000}"/>
    <cellStyle name="Calculation 2 2 10 4" xfId="20435" xr:uid="{00000000-0005-0000-0000-0000A1070000}"/>
    <cellStyle name="Calculation 2 2 11" xfId="5235" xr:uid="{00000000-0005-0000-0000-0000A2070000}"/>
    <cellStyle name="Calculation 2 2 11 2" xfId="15551" xr:uid="{00000000-0005-0000-0000-0000A3070000}"/>
    <cellStyle name="Calculation 2 2 11 2 2" xfId="30383" xr:uid="{00000000-0005-0000-0000-0000A4070000}"/>
    <cellStyle name="Calculation 2 2 11 3" xfId="22092" xr:uid="{00000000-0005-0000-0000-0000A5070000}"/>
    <cellStyle name="Calculation 2 2 12" xfId="5393" xr:uid="{00000000-0005-0000-0000-0000A6070000}"/>
    <cellStyle name="Calculation 2 2 12 2" xfId="15629" xr:uid="{00000000-0005-0000-0000-0000A7070000}"/>
    <cellStyle name="Calculation 2 2 12 2 2" xfId="30461" xr:uid="{00000000-0005-0000-0000-0000A8070000}"/>
    <cellStyle name="Calculation 2 2 12 3" xfId="22154" xr:uid="{00000000-0005-0000-0000-0000A9070000}"/>
    <cellStyle name="Calculation 2 2 13" xfId="9398" xr:uid="{00000000-0005-0000-0000-0000AA070000}"/>
    <cellStyle name="Calculation 2 2 13 2" xfId="24704" xr:uid="{00000000-0005-0000-0000-0000AB070000}"/>
    <cellStyle name="Calculation 2 2 14" xfId="5814" xr:uid="{00000000-0005-0000-0000-0000AC070000}"/>
    <cellStyle name="Calculation 2 2 14 2" xfId="18413" xr:uid="{00000000-0005-0000-0000-0000AD070000}"/>
    <cellStyle name="Calculation 2 2 2" xfId="1305" xr:uid="{00000000-0005-0000-0000-0000AE070000}"/>
    <cellStyle name="Calculation 2 2 2 2" xfId="1809" xr:uid="{00000000-0005-0000-0000-0000AF070000}"/>
    <cellStyle name="Calculation 2 2 2 2 2" xfId="3743" xr:uid="{00000000-0005-0000-0000-0000B0070000}"/>
    <cellStyle name="Calculation 2 2 2 2 2 2" xfId="7799" xr:uid="{00000000-0005-0000-0000-0000B1070000}"/>
    <cellStyle name="Calculation 2 2 2 2 2 2 2" xfId="23671" xr:uid="{00000000-0005-0000-0000-0000B2070000}"/>
    <cellStyle name="Calculation 2 2 2 2 2 3" xfId="14078" xr:uid="{00000000-0005-0000-0000-0000B3070000}"/>
    <cellStyle name="Calculation 2 2 2 2 2 3 2" xfId="28910" xr:uid="{00000000-0005-0000-0000-0000B4070000}"/>
    <cellStyle name="Calculation 2 2 2 2 2 4" xfId="21327" xr:uid="{00000000-0005-0000-0000-0000B5070000}"/>
    <cellStyle name="Calculation 2 2 2 2 3" xfId="4787" xr:uid="{00000000-0005-0000-0000-0000B6070000}"/>
    <cellStyle name="Calculation 2 2 2 2 3 2" xfId="8826" xr:uid="{00000000-0005-0000-0000-0000B7070000}"/>
    <cellStyle name="Calculation 2 2 2 2 3 2 2" xfId="24324" xr:uid="{00000000-0005-0000-0000-0000B8070000}"/>
    <cellStyle name="Calculation 2 2 2 2 3 3" xfId="15111" xr:uid="{00000000-0005-0000-0000-0000B9070000}"/>
    <cellStyle name="Calculation 2 2 2 2 3 3 2" xfId="29943" xr:uid="{00000000-0005-0000-0000-0000BA070000}"/>
    <cellStyle name="Calculation 2 2 2 2 3 4" xfId="21862" xr:uid="{00000000-0005-0000-0000-0000BB070000}"/>
    <cellStyle name="Calculation 2 2 2 2 4" xfId="2777" xr:uid="{00000000-0005-0000-0000-0000BC070000}"/>
    <cellStyle name="Calculation 2 2 2 2 4 2" xfId="6868" xr:uid="{00000000-0005-0000-0000-0000BD070000}"/>
    <cellStyle name="Calculation 2 2 2 2 4 2 2" xfId="23075" xr:uid="{00000000-0005-0000-0000-0000BE070000}"/>
    <cellStyle name="Calculation 2 2 2 2 4 3" xfId="13115" xr:uid="{00000000-0005-0000-0000-0000BF070000}"/>
    <cellStyle name="Calculation 2 2 2 2 4 3 2" xfId="27947" xr:uid="{00000000-0005-0000-0000-0000C0070000}"/>
    <cellStyle name="Calculation 2 2 2 2 4 4" xfId="20735" xr:uid="{00000000-0005-0000-0000-0000C1070000}"/>
    <cellStyle name="Calculation 2 2 2 2 5" xfId="5941" xr:uid="{00000000-0005-0000-0000-0000C2070000}"/>
    <cellStyle name="Calculation 2 2 2 2 5 2" xfId="16133" xr:uid="{00000000-0005-0000-0000-0000C3070000}"/>
    <cellStyle name="Calculation 2 2 2 2 5 2 2" xfId="30965" xr:uid="{00000000-0005-0000-0000-0000C4070000}"/>
    <cellStyle name="Calculation 2 2 2 2 5 3" xfId="22506" xr:uid="{00000000-0005-0000-0000-0000C5070000}"/>
    <cellStyle name="Calculation 2 2 2 2 6" xfId="12203" xr:uid="{00000000-0005-0000-0000-0000C6070000}"/>
    <cellStyle name="Calculation 2 2 2 2 6 2" xfId="27035" xr:uid="{00000000-0005-0000-0000-0000C7070000}"/>
    <cellStyle name="Calculation 2 2 2 2 7" xfId="9799" xr:uid="{00000000-0005-0000-0000-0000C8070000}"/>
    <cellStyle name="Calculation 2 2 2 2 7 2" xfId="20050" xr:uid="{00000000-0005-0000-0000-0000C9070000}"/>
    <cellStyle name="Calculation 2 2 2 3" xfId="3451" xr:uid="{00000000-0005-0000-0000-0000CA070000}"/>
    <cellStyle name="Calculation 2 2 2 3 2" xfId="7514" xr:uid="{00000000-0005-0000-0000-0000CB070000}"/>
    <cellStyle name="Calculation 2 2 2 3 2 2" xfId="23485" xr:uid="{00000000-0005-0000-0000-0000CC070000}"/>
    <cellStyle name="Calculation 2 2 2 3 3" xfId="13788" xr:uid="{00000000-0005-0000-0000-0000CD070000}"/>
    <cellStyle name="Calculation 2 2 2 3 3 2" xfId="28620" xr:uid="{00000000-0005-0000-0000-0000CE070000}"/>
    <cellStyle name="Calculation 2 2 2 3 4" xfId="21160" xr:uid="{00000000-0005-0000-0000-0000CF070000}"/>
    <cellStyle name="Calculation 2 2 2 4" xfId="3361" xr:uid="{00000000-0005-0000-0000-0000D0070000}"/>
    <cellStyle name="Calculation 2 2 2 4 2" xfId="7424" xr:uid="{00000000-0005-0000-0000-0000D1070000}"/>
    <cellStyle name="Calculation 2 2 2 4 2 2" xfId="23425" xr:uid="{00000000-0005-0000-0000-0000D2070000}"/>
    <cellStyle name="Calculation 2 2 2 4 3" xfId="13698" xr:uid="{00000000-0005-0000-0000-0000D3070000}"/>
    <cellStyle name="Calculation 2 2 2 4 3 2" xfId="28530" xr:uid="{00000000-0005-0000-0000-0000D4070000}"/>
    <cellStyle name="Calculation 2 2 2 4 4" xfId="21110" xr:uid="{00000000-0005-0000-0000-0000D5070000}"/>
    <cellStyle name="Calculation 2 2 2 5" xfId="2357" xr:uid="{00000000-0005-0000-0000-0000D6070000}"/>
    <cellStyle name="Calculation 2 2 2 5 2" xfId="6469" xr:uid="{00000000-0005-0000-0000-0000D7070000}"/>
    <cellStyle name="Calculation 2 2 2 5 2 2" xfId="22839" xr:uid="{00000000-0005-0000-0000-0000D8070000}"/>
    <cellStyle name="Calculation 2 2 2 5 3" xfId="12696" xr:uid="{00000000-0005-0000-0000-0000D9070000}"/>
    <cellStyle name="Calculation 2 2 2 5 3 2" xfId="27528" xr:uid="{00000000-0005-0000-0000-0000DA070000}"/>
    <cellStyle name="Calculation 2 2 2 5 4" xfId="20481" xr:uid="{00000000-0005-0000-0000-0000DB070000}"/>
    <cellStyle name="Calculation 2 2 2 6" xfId="5482" xr:uid="{00000000-0005-0000-0000-0000DC070000}"/>
    <cellStyle name="Calculation 2 2 2 6 2" xfId="15717" xr:uid="{00000000-0005-0000-0000-0000DD070000}"/>
    <cellStyle name="Calculation 2 2 2 6 2 2" xfId="30549" xr:uid="{00000000-0005-0000-0000-0000DE070000}"/>
    <cellStyle name="Calculation 2 2 2 6 3" xfId="22210" xr:uid="{00000000-0005-0000-0000-0000DF070000}"/>
    <cellStyle name="Calculation 2 2 2 7" xfId="9320" xr:uid="{00000000-0005-0000-0000-0000E0070000}"/>
    <cellStyle name="Calculation 2 2 2 7 2" xfId="24626" xr:uid="{00000000-0005-0000-0000-0000E1070000}"/>
    <cellStyle name="Calculation 2 2 2 8" xfId="9403" xr:uid="{00000000-0005-0000-0000-0000E2070000}"/>
    <cellStyle name="Calculation 2 2 2 8 2" xfId="19707" xr:uid="{00000000-0005-0000-0000-0000E3070000}"/>
    <cellStyle name="Calculation 2 2 3" xfId="1439" xr:uid="{00000000-0005-0000-0000-0000E4070000}"/>
    <cellStyle name="Calculation 2 2 3 2" xfId="1940" xr:uid="{00000000-0005-0000-0000-0000E5070000}"/>
    <cellStyle name="Calculation 2 2 3 2 2" xfId="3799" xr:uid="{00000000-0005-0000-0000-0000E6070000}"/>
    <cellStyle name="Calculation 2 2 3 2 2 2" xfId="7854" xr:uid="{00000000-0005-0000-0000-0000E7070000}"/>
    <cellStyle name="Calculation 2 2 3 2 2 2 2" xfId="23708" xr:uid="{00000000-0005-0000-0000-0000E8070000}"/>
    <cellStyle name="Calculation 2 2 3 2 2 3" xfId="14134" xr:uid="{00000000-0005-0000-0000-0000E9070000}"/>
    <cellStyle name="Calculation 2 2 3 2 2 3 2" xfId="28966" xr:uid="{00000000-0005-0000-0000-0000EA070000}"/>
    <cellStyle name="Calculation 2 2 3 2 2 4" xfId="21359" xr:uid="{00000000-0005-0000-0000-0000EB070000}"/>
    <cellStyle name="Calculation 2 2 3 2 3" xfId="4919" xr:uid="{00000000-0005-0000-0000-0000EC070000}"/>
    <cellStyle name="Calculation 2 2 3 2 3 2" xfId="8958" xr:uid="{00000000-0005-0000-0000-0000ED070000}"/>
    <cellStyle name="Calculation 2 2 3 2 3 2 2" xfId="24424" xr:uid="{00000000-0005-0000-0000-0000EE070000}"/>
    <cellStyle name="Calculation 2 2 3 2 3 3" xfId="15241" xr:uid="{00000000-0005-0000-0000-0000EF070000}"/>
    <cellStyle name="Calculation 2 2 3 2 3 3 2" xfId="30073" xr:uid="{00000000-0005-0000-0000-0000F0070000}"/>
    <cellStyle name="Calculation 2 2 3 2 3 4" xfId="21954" xr:uid="{00000000-0005-0000-0000-0000F1070000}"/>
    <cellStyle name="Calculation 2 2 3 2 4" xfId="2909" xr:uid="{00000000-0005-0000-0000-0000F2070000}"/>
    <cellStyle name="Calculation 2 2 3 2 4 2" xfId="6993" xr:uid="{00000000-0005-0000-0000-0000F3070000}"/>
    <cellStyle name="Calculation 2 2 3 2 4 2 2" xfId="23167" xr:uid="{00000000-0005-0000-0000-0000F4070000}"/>
    <cellStyle name="Calculation 2 2 3 2 4 3" xfId="13247" xr:uid="{00000000-0005-0000-0000-0000F5070000}"/>
    <cellStyle name="Calculation 2 2 3 2 4 3 2" xfId="28079" xr:uid="{00000000-0005-0000-0000-0000F6070000}"/>
    <cellStyle name="Calculation 2 2 3 2 4 4" xfId="20835" xr:uid="{00000000-0005-0000-0000-0000F7070000}"/>
    <cellStyle name="Calculation 2 2 3 2 5" xfId="6070" xr:uid="{00000000-0005-0000-0000-0000F8070000}"/>
    <cellStyle name="Calculation 2 2 3 2 5 2" xfId="16257" xr:uid="{00000000-0005-0000-0000-0000F9070000}"/>
    <cellStyle name="Calculation 2 2 3 2 5 2 2" xfId="31089" xr:uid="{00000000-0005-0000-0000-0000FA070000}"/>
    <cellStyle name="Calculation 2 2 3 2 5 3" xfId="22603" xr:uid="{00000000-0005-0000-0000-0000FB070000}"/>
    <cellStyle name="Calculation 2 2 3 2 6" xfId="12327" xr:uid="{00000000-0005-0000-0000-0000FC070000}"/>
    <cellStyle name="Calculation 2 2 3 2 6 2" xfId="27159" xr:uid="{00000000-0005-0000-0000-0000FD070000}"/>
    <cellStyle name="Calculation 2 2 3 2 7" xfId="9924" xr:uid="{00000000-0005-0000-0000-0000FE070000}"/>
    <cellStyle name="Calculation 2 2 3 2 7 2" xfId="20126" xr:uid="{00000000-0005-0000-0000-0000FF070000}"/>
    <cellStyle name="Calculation 2 2 3 3" xfId="3681" xr:uid="{00000000-0005-0000-0000-000000080000}"/>
    <cellStyle name="Calculation 2 2 3 3 2" xfId="7739" xr:uid="{00000000-0005-0000-0000-000001080000}"/>
    <cellStyle name="Calculation 2 2 3 3 2 2" xfId="23629" xr:uid="{00000000-0005-0000-0000-000002080000}"/>
    <cellStyle name="Calculation 2 2 3 3 3" xfId="14016" xr:uid="{00000000-0005-0000-0000-000003080000}"/>
    <cellStyle name="Calculation 2 2 3 3 3 2" xfId="28848" xr:uid="{00000000-0005-0000-0000-000004080000}"/>
    <cellStyle name="Calculation 2 2 3 3 4" xfId="21289" xr:uid="{00000000-0005-0000-0000-000005080000}"/>
    <cellStyle name="Calculation 2 2 3 4" xfId="4499" xr:uid="{00000000-0005-0000-0000-000006080000}"/>
    <cellStyle name="Calculation 2 2 3 4 2" xfId="8538" xr:uid="{00000000-0005-0000-0000-000007080000}"/>
    <cellStyle name="Calculation 2 2 3 4 2 2" xfId="24164" xr:uid="{00000000-0005-0000-0000-000008080000}"/>
    <cellStyle name="Calculation 2 2 3 4 3" xfId="14826" xr:uid="{00000000-0005-0000-0000-000009080000}"/>
    <cellStyle name="Calculation 2 2 3 4 3 2" xfId="29658" xr:uid="{00000000-0005-0000-0000-00000A080000}"/>
    <cellStyle name="Calculation 2 2 3 4 4" xfId="21724" xr:uid="{00000000-0005-0000-0000-00000B080000}"/>
    <cellStyle name="Calculation 2 2 3 5" xfId="2489" xr:uid="{00000000-0005-0000-0000-00000C080000}"/>
    <cellStyle name="Calculation 2 2 3 5 2" xfId="6595" xr:uid="{00000000-0005-0000-0000-00000D080000}"/>
    <cellStyle name="Calculation 2 2 3 5 2 2" xfId="22933" xr:uid="{00000000-0005-0000-0000-00000E080000}"/>
    <cellStyle name="Calculation 2 2 3 5 3" xfId="12827" xr:uid="{00000000-0005-0000-0000-00000F080000}"/>
    <cellStyle name="Calculation 2 2 3 5 3 2" xfId="27659" xr:uid="{00000000-0005-0000-0000-000010080000}"/>
    <cellStyle name="Calculation 2 2 3 5 4" xfId="20579" xr:uid="{00000000-0005-0000-0000-000011080000}"/>
    <cellStyle name="Calculation 2 2 3 6" xfId="5612" xr:uid="{00000000-0005-0000-0000-000012080000}"/>
    <cellStyle name="Calculation 2 2 3 6 2" xfId="15847" xr:uid="{00000000-0005-0000-0000-000013080000}"/>
    <cellStyle name="Calculation 2 2 3 6 2 2" xfId="30679" xr:uid="{00000000-0005-0000-0000-000014080000}"/>
    <cellStyle name="Calculation 2 2 3 6 3" xfId="22308" xr:uid="{00000000-0005-0000-0000-000015080000}"/>
    <cellStyle name="Calculation 2 2 3 7" xfId="11856" xr:uid="{00000000-0005-0000-0000-000016080000}"/>
    <cellStyle name="Calculation 2 2 3 7 2" xfId="26688" xr:uid="{00000000-0005-0000-0000-000017080000}"/>
    <cellStyle name="Calculation 2 2 3 8" xfId="9529" xr:uid="{00000000-0005-0000-0000-000018080000}"/>
    <cellStyle name="Calculation 2 2 3 8 2" xfId="19831" xr:uid="{00000000-0005-0000-0000-000019080000}"/>
    <cellStyle name="Calculation 2 2 4" xfId="1415" xr:uid="{00000000-0005-0000-0000-00001A080000}"/>
    <cellStyle name="Calculation 2 2 4 2" xfId="1917" xr:uid="{00000000-0005-0000-0000-00001B080000}"/>
    <cellStyle name="Calculation 2 2 4 2 2" xfId="3902" xr:uid="{00000000-0005-0000-0000-00001C080000}"/>
    <cellStyle name="Calculation 2 2 4 2 2 2" xfId="7953" xr:uid="{00000000-0005-0000-0000-00001D080000}"/>
    <cellStyle name="Calculation 2 2 4 2 2 2 2" xfId="23770" xr:uid="{00000000-0005-0000-0000-00001E080000}"/>
    <cellStyle name="Calculation 2 2 4 2 2 3" xfId="14235" xr:uid="{00000000-0005-0000-0000-00001F080000}"/>
    <cellStyle name="Calculation 2 2 4 2 2 3 2" xfId="29067" xr:uid="{00000000-0005-0000-0000-000020080000}"/>
    <cellStyle name="Calculation 2 2 4 2 2 4" xfId="21411" xr:uid="{00000000-0005-0000-0000-000021080000}"/>
    <cellStyle name="Calculation 2 2 4 2 3" xfId="4895" xr:uid="{00000000-0005-0000-0000-000022080000}"/>
    <cellStyle name="Calculation 2 2 4 2 3 2" xfId="8934" xr:uid="{00000000-0005-0000-0000-000023080000}"/>
    <cellStyle name="Calculation 2 2 4 2 3 2 2" xfId="24400" xr:uid="{00000000-0005-0000-0000-000024080000}"/>
    <cellStyle name="Calculation 2 2 4 2 3 3" xfId="15218" xr:uid="{00000000-0005-0000-0000-000025080000}"/>
    <cellStyle name="Calculation 2 2 4 2 3 3 2" xfId="30050" xr:uid="{00000000-0005-0000-0000-000026080000}"/>
    <cellStyle name="Calculation 2 2 4 2 3 4" xfId="21932" xr:uid="{00000000-0005-0000-0000-000027080000}"/>
    <cellStyle name="Calculation 2 2 4 2 4" xfId="2885" xr:uid="{00000000-0005-0000-0000-000028080000}"/>
    <cellStyle name="Calculation 2 2 4 2 4 2" xfId="6970" xr:uid="{00000000-0005-0000-0000-000029080000}"/>
    <cellStyle name="Calculation 2 2 4 2 4 2 2" xfId="23145" xr:uid="{00000000-0005-0000-0000-00002A080000}"/>
    <cellStyle name="Calculation 2 2 4 2 4 3" xfId="13223" xr:uid="{00000000-0005-0000-0000-00002B080000}"/>
    <cellStyle name="Calculation 2 2 4 2 4 3 2" xfId="28055" xr:uid="{00000000-0005-0000-0000-00002C080000}"/>
    <cellStyle name="Calculation 2 2 4 2 4 4" xfId="20811" xr:uid="{00000000-0005-0000-0000-00002D080000}"/>
    <cellStyle name="Calculation 2 2 4 2 5" xfId="6048" xr:uid="{00000000-0005-0000-0000-00002E080000}"/>
    <cellStyle name="Calculation 2 2 4 2 5 2" xfId="16235" xr:uid="{00000000-0005-0000-0000-00002F080000}"/>
    <cellStyle name="Calculation 2 2 4 2 5 2 2" xfId="31067" xr:uid="{00000000-0005-0000-0000-000030080000}"/>
    <cellStyle name="Calculation 2 2 4 2 5 3" xfId="22581" xr:uid="{00000000-0005-0000-0000-000031080000}"/>
    <cellStyle name="Calculation 2 2 4 2 6" xfId="12305" xr:uid="{00000000-0005-0000-0000-000032080000}"/>
    <cellStyle name="Calculation 2 2 4 2 6 2" xfId="27137" xr:uid="{00000000-0005-0000-0000-000033080000}"/>
    <cellStyle name="Calculation 2 2 4 2 7" xfId="9901" xr:uid="{00000000-0005-0000-0000-000034080000}"/>
    <cellStyle name="Calculation 2 2 4 2 7 2" xfId="20104" xr:uid="{00000000-0005-0000-0000-000035080000}"/>
    <cellStyle name="Calculation 2 2 4 3" xfId="3460" xr:uid="{00000000-0005-0000-0000-000036080000}"/>
    <cellStyle name="Calculation 2 2 4 3 2" xfId="7523" xr:uid="{00000000-0005-0000-0000-000037080000}"/>
    <cellStyle name="Calculation 2 2 4 3 2 2" xfId="23492" xr:uid="{00000000-0005-0000-0000-000038080000}"/>
    <cellStyle name="Calculation 2 2 4 3 3" xfId="13797" xr:uid="{00000000-0005-0000-0000-000039080000}"/>
    <cellStyle name="Calculation 2 2 4 3 3 2" xfId="28629" xr:uid="{00000000-0005-0000-0000-00003A080000}"/>
    <cellStyle name="Calculation 2 2 4 3 4" xfId="21167" xr:uid="{00000000-0005-0000-0000-00003B080000}"/>
    <cellStyle name="Calculation 2 2 4 4" xfId="4475" xr:uid="{00000000-0005-0000-0000-00003C080000}"/>
    <cellStyle name="Calculation 2 2 4 4 2" xfId="8514" xr:uid="{00000000-0005-0000-0000-00003D080000}"/>
    <cellStyle name="Calculation 2 2 4 4 2 2" xfId="24140" xr:uid="{00000000-0005-0000-0000-00003E080000}"/>
    <cellStyle name="Calculation 2 2 4 4 3" xfId="14803" xr:uid="{00000000-0005-0000-0000-00003F080000}"/>
    <cellStyle name="Calculation 2 2 4 4 3 2" xfId="29635" xr:uid="{00000000-0005-0000-0000-000040080000}"/>
    <cellStyle name="Calculation 2 2 4 4 4" xfId="21702" xr:uid="{00000000-0005-0000-0000-000041080000}"/>
    <cellStyle name="Calculation 2 2 4 5" xfId="2465" xr:uid="{00000000-0005-0000-0000-000042080000}"/>
    <cellStyle name="Calculation 2 2 4 5 2" xfId="6571" xr:uid="{00000000-0005-0000-0000-000043080000}"/>
    <cellStyle name="Calculation 2 2 4 5 2 2" xfId="22909" xr:uid="{00000000-0005-0000-0000-000044080000}"/>
    <cellStyle name="Calculation 2 2 4 5 3" xfId="12804" xr:uid="{00000000-0005-0000-0000-000045080000}"/>
    <cellStyle name="Calculation 2 2 4 5 3 2" xfId="27636" xr:uid="{00000000-0005-0000-0000-000046080000}"/>
    <cellStyle name="Calculation 2 2 4 5 4" xfId="20557" xr:uid="{00000000-0005-0000-0000-000047080000}"/>
    <cellStyle name="Calculation 2 2 4 6" xfId="5589" xr:uid="{00000000-0005-0000-0000-000048080000}"/>
    <cellStyle name="Calculation 2 2 4 6 2" xfId="15824" xr:uid="{00000000-0005-0000-0000-000049080000}"/>
    <cellStyle name="Calculation 2 2 4 6 2 2" xfId="30656" xr:uid="{00000000-0005-0000-0000-00004A080000}"/>
    <cellStyle name="Calculation 2 2 4 6 3" xfId="22285" xr:uid="{00000000-0005-0000-0000-00004B080000}"/>
    <cellStyle name="Calculation 2 2 4 7" xfId="11834" xr:uid="{00000000-0005-0000-0000-00004C080000}"/>
    <cellStyle name="Calculation 2 2 4 7 2" xfId="26666" xr:uid="{00000000-0005-0000-0000-00004D080000}"/>
    <cellStyle name="Calculation 2 2 4 8" xfId="9506" xr:uid="{00000000-0005-0000-0000-00004E080000}"/>
    <cellStyle name="Calculation 2 2 4 8 2" xfId="19809" xr:uid="{00000000-0005-0000-0000-00004F080000}"/>
    <cellStyle name="Calculation 2 2 5" xfId="1425" xr:uid="{00000000-0005-0000-0000-000050080000}"/>
    <cellStyle name="Calculation 2 2 5 2" xfId="1926" xr:uid="{00000000-0005-0000-0000-000051080000}"/>
    <cellStyle name="Calculation 2 2 5 2 2" xfId="4020" xr:uid="{00000000-0005-0000-0000-000052080000}"/>
    <cellStyle name="Calculation 2 2 5 2 2 2" xfId="8067" xr:uid="{00000000-0005-0000-0000-000053080000}"/>
    <cellStyle name="Calculation 2 2 5 2 2 2 2" xfId="23841" xr:uid="{00000000-0005-0000-0000-000054080000}"/>
    <cellStyle name="Calculation 2 2 5 2 2 3" xfId="14352" xr:uid="{00000000-0005-0000-0000-000055080000}"/>
    <cellStyle name="Calculation 2 2 5 2 2 3 2" xfId="29184" xr:uid="{00000000-0005-0000-0000-000056080000}"/>
    <cellStyle name="Calculation 2 2 5 2 2 4" xfId="21479" xr:uid="{00000000-0005-0000-0000-000057080000}"/>
    <cellStyle name="Calculation 2 2 5 2 3" xfId="4905" xr:uid="{00000000-0005-0000-0000-000058080000}"/>
    <cellStyle name="Calculation 2 2 5 2 3 2" xfId="8944" xr:uid="{00000000-0005-0000-0000-000059080000}"/>
    <cellStyle name="Calculation 2 2 5 2 3 2 2" xfId="24410" xr:uid="{00000000-0005-0000-0000-00005A080000}"/>
    <cellStyle name="Calculation 2 2 5 2 3 3" xfId="15227" xr:uid="{00000000-0005-0000-0000-00005B080000}"/>
    <cellStyle name="Calculation 2 2 5 2 3 3 2" xfId="30059" xr:uid="{00000000-0005-0000-0000-00005C080000}"/>
    <cellStyle name="Calculation 2 2 5 2 3 4" xfId="21940" xr:uid="{00000000-0005-0000-0000-00005D080000}"/>
    <cellStyle name="Calculation 2 2 5 2 4" xfId="2895" xr:uid="{00000000-0005-0000-0000-00005E080000}"/>
    <cellStyle name="Calculation 2 2 5 2 4 2" xfId="6979" xr:uid="{00000000-0005-0000-0000-00005F080000}"/>
    <cellStyle name="Calculation 2 2 5 2 4 2 2" xfId="23153" xr:uid="{00000000-0005-0000-0000-000060080000}"/>
    <cellStyle name="Calculation 2 2 5 2 4 3" xfId="13233" xr:uid="{00000000-0005-0000-0000-000061080000}"/>
    <cellStyle name="Calculation 2 2 5 2 4 3 2" xfId="28065" xr:uid="{00000000-0005-0000-0000-000062080000}"/>
    <cellStyle name="Calculation 2 2 5 2 4 4" xfId="20821" xr:uid="{00000000-0005-0000-0000-000063080000}"/>
    <cellStyle name="Calculation 2 2 5 2 5" xfId="6056" xr:uid="{00000000-0005-0000-0000-000064080000}"/>
    <cellStyle name="Calculation 2 2 5 2 5 2" xfId="16243" xr:uid="{00000000-0005-0000-0000-000065080000}"/>
    <cellStyle name="Calculation 2 2 5 2 5 2 2" xfId="31075" xr:uid="{00000000-0005-0000-0000-000066080000}"/>
    <cellStyle name="Calculation 2 2 5 2 5 3" xfId="22589" xr:uid="{00000000-0005-0000-0000-000067080000}"/>
    <cellStyle name="Calculation 2 2 5 2 6" xfId="12313" xr:uid="{00000000-0005-0000-0000-000068080000}"/>
    <cellStyle name="Calculation 2 2 5 2 6 2" xfId="27145" xr:uid="{00000000-0005-0000-0000-000069080000}"/>
    <cellStyle name="Calculation 2 2 5 2 7" xfId="9910" xr:uid="{00000000-0005-0000-0000-00006A080000}"/>
    <cellStyle name="Calculation 2 2 5 2 7 2" xfId="20112" xr:uid="{00000000-0005-0000-0000-00006B080000}"/>
    <cellStyle name="Calculation 2 2 5 3" xfId="3948" xr:uid="{00000000-0005-0000-0000-00006C080000}"/>
    <cellStyle name="Calculation 2 2 5 3 2" xfId="7998" xr:uid="{00000000-0005-0000-0000-00006D080000}"/>
    <cellStyle name="Calculation 2 2 5 3 2 2" xfId="23798" xr:uid="{00000000-0005-0000-0000-00006E080000}"/>
    <cellStyle name="Calculation 2 2 5 3 3" xfId="14281" xr:uid="{00000000-0005-0000-0000-00006F080000}"/>
    <cellStyle name="Calculation 2 2 5 3 3 2" xfId="29113" xr:uid="{00000000-0005-0000-0000-000070080000}"/>
    <cellStyle name="Calculation 2 2 5 3 4" xfId="21440" xr:uid="{00000000-0005-0000-0000-000071080000}"/>
    <cellStyle name="Calculation 2 2 5 4" xfId="4485" xr:uid="{00000000-0005-0000-0000-000072080000}"/>
    <cellStyle name="Calculation 2 2 5 4 2" xfId="8524" xr:uid="{00000000-0005-0000-0000-000073080000}"/>
    <cellStyle name="Calculation 2 2 5 4 2 2" xfId="24150" xr:uid="{00000000-0005-0000-0000-000074080000}"/>
    <cellStyle name="Calculation 2 2 5 4 3" xfId="14812" xr:uid="{00000000-0005-0000-0000-000075080000}"/>
    <cellStyle name="Calculation 2 2 5 4 3 2" xfId="29644" xr:uid="{00000000-0005-0000-0000-000076080000}"/>
    <cellStyle name="Calculation 2 2 5 4 4" xfId="21710" xr:uid="{00000000-0005-0000-0000-000077080000}"/>
    <cellStyle name="Calculation 2 2 5 5" xfId="2475" xr:uid="{00000000-0005-0000-0000-000078080000}"/>
    <cellStyle name="Calculation 2 2 5 5 2" xfId="6581" xr:uid="{00000000-0005-0000-0000-000079080000}"/>
    <cellStyle name="Calculation 2 2 5 5 2 2" xfId="22919" xr:uid="{00000000-0005-0000-0000-00007A080000}"/>
    <cellStyle name="Calculation 2 2 5 5 3" xfId="12813" xr:uid="{00000000-0005-0000-0000-00007B080000}"/>
    <cellStyle name="Calculation 2 2 5 5 3 2" xfId="27645" xr:uid="{00000000-0005-0000-0000-00007C080000}"/>
    <cellStyle name="Calculation 2 2 5 5 4" xfId="20565" xr:uid="{00000000-0005-0000-0000-00007D080000}"/>
    <cellStyle name="Calculation 2 2 5 6" xfId="5598" xr:uid="{00000000-0005-0000-0000-00007E080000}"/>
    <cellStyle name="Calculation 2 2 5 6 2" xfId="15833" xr:uid="{00000000-0005-0000-0000-00007F080000}"/>
    <cellStyle name="Calculation 2 2 5 6 2 2" xfId="30665" xr:uid="{00000000-0005-0000-0000-000080080000}"/>
    <cellStyle name="Calculation 2 2 5 6 3" xfId="22294" xr:uid="{00000000-0005-0000-0000-000081080000}"/>
    <cellStyle name="Calculation 2 2 5 7" xfId="11842" xr:uid="{00000000-0005-0000-0000-000082080000}"/>
    <cellStyle name="Calculation 2 2 5 7 2" xfId="26674" xr:uid="{00000000-0005-0000-0000-000083080000}"/>
    <cellStyle name="Calculation 2 2 5 8" xfId="9515" xr:uid="{00000000-0005-0000-0000-000084080000}"/>
    <cellStyle name="Calculation 2 2 5 8 2" xfId="19817" xr:uid="{00000000-0005-0000-0000-000085080000}"/>
    <cellStyle name="Calculation 2 2 6" xfId="1716" xr:uid="{00000000-0005-0000-0000-000086080000}"/>
    <cellStyle name="Calculation 2 2 6 2" xfId="3589" xr:uid="{00000000-0005-0000-0000-000087080000}"/>
    <cellStyle name="Calculation 2 2 6 2 2" xfId="7651" xr:uid="{00000000-0005-0000-0000-000088080000}"/>
    <cellStyle name="Calculation 2 2 6 2 2 2" xfId="23567" xr:uid="{00000000-0005-0000-0000-000089080000}"/>
    <cellStyle name="Calculation 2 2 6 2 3" xfId="13925" xr:uid="{00000000-0005-0000-0000-00008A080000}"/>
    <cellStyle name="Calculation 2 2 6 2 3 2" xfId="28757" xr:uid="{00000000-0005-0000-0000-00008B080000}"/>
    <cellStyle name="Calculation 2 2 6 2 4" xfId="21236" xr:uid="{00000000-0005-0000-0000-00008C080000}"/>
    <cellStyle name="Calculation 2 2 6 3" xfId="4709" xr:uid="{00000000-0005-0000-0000-00008D080000}"/>
    <cellStyle name="Calculation 2 2 6 3 2" xfId="8748" xr:uid="{00000000-0005-0000-0000-00008E080000}"/>
    <cellStyle name="Calculation 2 2 6 3 2 2" xfId="24278" xr:uid="{00000000-0005-0000-0000-00008F080000}"/>
    <cellStyle name="Calculation 2 2 6 3 3" xfId="15033" xr:uid="{00000000-0005-0000-0000-000090080000}"/>
    <cellStyle name="Calculation 2 2 6 3 3 2" xfId="29865" xr:uid="{00000000-0005-0000-0000-000091080000}"/>
    <cellStyle name="Calculation 2 2 6 3 4" xfId="21816" xr:uid="{00000000-0005-0000-0000-000092080000}"/>
    <cellStyle name="Calculation 2 2 6 4" xfId="2699" xr:uid="{00000000-0005-0000-0000-000093080000}"/>
    <cellStyle name="Calculation 2 2 6 4 2" xfId="6790" xr:uid="{00000000-0005-0000-0000-000094080000}"/>
    <cellStyle name="Calculation 2 2 6 4 2 2" xfId="23029" xr:uid="{00000000-0005-0000-0000-000095080000}"/>
    <cellStyle name="Calculation 2 2 6 4 3" xfId="13037" xr:uid="{00000000-0005-0000-0000-000096080000}"/>
    <cellStyle name="Calculation 2 2 6 4 3 2" xfId="27869" xr:uid="{00000000-0005-0000-0000-000097080000}"/>
    <cellStyle name="Calculation 2 2 6 4 4" xfId="20689" xr:uid="{00000000-0005-0000-0000-000098080000}"/>
    <cellStyle name="Calculation 2 2 6 5" xfId="5848" xr:uid="{00000000-0005-0000-0000-000099080000}"/>
    <cellStyle name="Calculation 2 2 6 5 2" xfId="16040" xr:uid="{00000000-0005-0000-0000-00009A080000}"/>
    <cellStyle name="Calculation 2 2 6 5 2 2" xfId="30872" xr:uid="{00000000-0005-0000-0000-00009B080000}"/>
    <cellStyle name="Calculation 2 2 6 5 3" xfId="22445" xr:uid="{00000000-0005-0000-0000-00009C080000}"/>
    <cellStyle name="Calculation 2 2 6 6" xfId="12110" xr:uid="{00000000-0005-0000-0000-00009D080000}"/>
    <cellStyle name="Calculation 2 2 6 6 2" xfId="26942" xr:uid="{00000000-0005-0000-0000-00009E080000}"/>
    <cellStyle name="Calculation 2 2 6 7" xfId="9721" xr:uid="{00000000-0005-0000-0000-00009F080000}"/>
    <cellStyle name="Calculation 2 2 6 7 2" xfId="20019" xr:uid="{00000000-0005-0000-0000-0000A0080000}"/>
    <cellStyle name="Calculation 2 2 7" xfId="2235" xr:uid="{00000000-0005-0000-0000-0000A1080000}"/>
    <cellStyle name="Calculation 2 2 7 2" xfId="3579" xr:uid="{00000000-0005-0000-0000-0000A2080000}"/>
    <cellStyle name="Calculation 2 2 7 2 2" xfId="7641" xr:uid="{00000000-0005-0000-0000-0000A3080000}"/>
    <cellStyle name="Calculation 2 2 7 2 2 2" xfId="23563" xr:uid="{00000000-0005-0000-0000-0000A4080000}"/>
    <cellStyle name="Calculation 2 2 7 2 3" xfId="13915" xr:uid="{00000000-0005-0000-0000-0000A5080000}"/>
    <cellStyle name="Calculation 2 2 7 2 3 2" xfId="28747" xr:uid="{00000000-0005-0000-0000-0000A6080000}"/>
    <cellStyle name="Calculation 2 2 7 2 4" xfId="21232" xr:uid="{00000000-0005-0000-0000-0000A7080000}"/>
    <cellStyle name="Calculation 2 2 7 3" xfId="5203" xr:uid="{00000000-0005-0000-0000-0000A8080000}"/>
    <cellStyle name="Calculation 2 2 7 3 2" xfId="9242" xr:uid="{00000000-0005-0000-0000-0000A9080000}"/>
    <cellStyle name="Calculation 2 2 7 3 2 2" xfId="24580" xr:uid="{00000000-0005-0000-0000-0000AA080000}"/>
    <cellStyle name="Calculation 2 2 7 3 3" xfId="15521" xr:uid="{00000000-0005-0000-0000-0000AB080000}"/>
    <cellStyle name="Calculation 2 2 7 3 3 2" xfId="30353" xr:uid="{00000000-0005-0000-0000-0000AC080000}"/>
    <cellStyle name="Calculation 2 2 7 3 4" xfId="22087" xr:uid="{00000000-0005-0000-0000-0000AD080000}"/>
    <cellStyle name="Calculation 2 2 7 4" xfId="4233" xr:uid="{00000000-0005-0000-0000-0000AE080000}"/>
    <cellStyle name="Calculation 2 2 7 4 2" xfId="8274" xr:uid="{00000000-0005-0000-0000-0000AF080000}"/>
    <cellStyle name="Calculation 2 2 7 4 2 2" xfId="23969" xr:uid="{00000000-0005-0000-0000-0000B0080000}"/>
    <cellStyle name="Calculation 2 2 7 4 3" xfId="14565" xr:uid="{00000000-0005-0000-0000-0000B1080000}"/>
    <cellStyle name="Calculation 2 2 7 4 3 2" xfId="29397" xr:uid="{00000000-0005-0000-0000-0000B2080000}"/>
    <cellStyle name="Calculation 2 2 7 4 4" xfId="21594" xr:uid="{00000000-0005-0000-0000-0000B3080000}"/>
    <cellStyle name="Calculation 2 2 7 5" xfId="6349" xr:uid="{00000000-0005-0000-0000-0000B4080000}"/>
    <cellStyle name="Calculation 2 2 7 5 2" xfId="22751" xr:uid="{00000000-0005-0000-0000-0000B5080000}"/>
    <cellStyle name="Calculation 2 2 7 6" xfId="12603" xr:uid="{00000000-0005-0000-0000-0000B6080000}"/>
    <cellStyle name="Calculation 2 2 7 6 2" xfId="27435" xr:uid="{00000000-0005-0000-0000-0000B7080000}"/>
    <cellStyle name="Calculation 2 2 7 7" xfId="20430" xr:uid="{00000000-0005-0000-0000-0000B8080000}"/>
    <cellStyle name="Calculation 2 2 8" xfId="3830" xr:uid="{00000000-0005-0000-0000-0000B9080000}"/>
    <cellStyle name="Calculation 2 2 8 2" xfId="7883" xr:uid="{00000000-0005-0000-0000-0000BA080000}"/>
    <cellStyle name="Calculation 2 2 8 2 2" xfId="23725" xr:uid="{00000000-0005-0000-0000-0000BB080000}"/>
    <cellStyle name="Calculation 2 2 8 3" xfId="14165" xr:uid="{00000000-0005-0000-0000-0000BC080000}"/>
    <cellStyle name="Calculation 2 2 8 3 2" xfId="28997" xr:uid="{00000000-0005-0000-0000-0000BD080000}"/>
    <cellStyle name="Calculation 2 2 8 4" xfId="21373" xr:uid="{00000000-0005-0000-0000-0000BE080000}"/>
    <cellStyle name="Calculation 2 2 9" xfId="3339" xr:uid="{00000000-0005-0000-0000-0000BF080000}"/>
    <cellStyle name="Calculation 2 2 9 2" xfId="7402" xr:uid="{00000000-0005-0000-0000-0000C0080000}"/>
    <cellStyle name="Calculation 2 2 9 2 2" xfId="23407" xr:uid="{00000000-0005-0000-0000-0000C1080000}"/>
    <cellStyle name="Calculation 2 2 9 3" xfId="13676" xr:uid="{00000000-0005-0000-0000-0000C2080000}"/>
    <cellStyle name="Calculation 2 2 9 3 2" xfId="28508" xr:uid="{00000000-0005-0000-0000-0000C3080000}"/>
    <cellStyle name="Calculation 2 2 9 4" xfId="21094" xr:uid="{00000000-0005-0000-0000-0000C4080000}"/>
    <cellStyle name="Calculation 2 20" xfId="9399" xr:uid="{00000000-0005-0000-0000-0000C5080000}"/>
    <cellStyle name="Calculation 2 20 2" xfId="24705" xr:uid="{00000000-0005-0000-0000-0000C6080000}"/>
    <cellStyle name="Calculation 2 21" xfId="7697" xr:uid="{00000000-0005-0000-0000-0000C7080000}"/>
    <cellStyle name="Calculation 2 21 2" xfId="19109" xr:uid="{00000000-0005-0000-0000-0000C8080000}"/>
    <cellStyle name="Calculation 2 3" xfId="964" xr:uid="{00000000-0005-0000-0000-0000C9080000}"/>
    <cellStyle name="Calculation 2 3 10" xfId="2270" xr:uid="{00000000-0005-0000-0000-0000CA080000}"/>
    <cellStyle name="Calculation 2 3 10 2" xfId="6382" xr:uid="{00000000-0005-0000-0000-0000CB080000}"/>
    <cellStyle name="Calculation 2 3 10 2 2" xfId="22784" xr:uid="{00000000-0005-0000-0000-0000CC080000}"/>
    <cellStyle name="Calculation 2 3 10 3" xfId="12610" xr:uid="{00000000-0005-0000-0000-0000CD080000}"/>
    <cellStyle name="Calculation 2 3 10 3 2" xfId="27442" xr:uid="{00000000-0005-0000-0000-0000CE080000}"/>
    <cellStyle name="Calculation 2 3 10 4" xfId="20436" xr:uid="{00000000-0005-0000-0000-0000CF080000}"/>
    <cellStyle name="Calculation 2 3 11" xfId="5236" xr:uid="{00000000-0005-0000-0000-0000D0080000}"/>
    <cellStyle name="Calculation 2 3 11 2" xfId="15552" xr:uid="{00000000-0005-0000-0000-0000D1080000}"/>
    <cellStyle name="Calculation 2 3 11 2 2" xfId="30384" xr:uid="{00000000-0005-0000-0000-0000D2080000}"/>
    <cellStyle name="Calculation 2 3 11 3" xfId="22093" xr:uid="{00000000-0005-0000-0000-0000D3080000}"/>
    <cellStyle name="Calculation 2 3 12" xfId="5394" xr:uid="{00000000-0005-0000-0000-0000D4080000}"/>
    <cellStyle name="Calculation 2 3 12 2" xfId="15630" xr:uid="{00000000-0005-0000-0000-0000D5080000}"/>
    <cellStyle name="Calculation 2 3 12 2 2" xfId="30462" xr:uid="{00000000-0005-0000-0000-0000D6080000}"/>
    <cellStyle name="Calculation 2 3 12 3" xfId="22155" xr:uid="{00000000-0005-0000-0000-0000D7080000}"/>
    <cellStyle name="Calculation 2 3 13" xfId="9397" xr:uid="{00000000-0005-0000-0000-0000D8080000}"/>
    <cellStyle name="Calculation 2 3 13 2" xfId="24703" xr:uid="{00000000-0005-0000-0000-0000D9080000}"/>
    <cellStyle name="Calculation 2 3 14" xfId="5469" xr:uid="{00000000-0005-0000-0000-0000DA080000}"/>
    <cellStyle name="Calculation 2 3 14 2" xfId="18282" xr:uid="{00000000-0005-0000-0000-0000DB080000}"/>
    <cellStyle name="Calculation 2 3 2" xfId="1306" xr:uid="{00000000-0005-0000-0000-0000DC080000}"/>
    <cellStyle name="Calculation 2 3 2 2" xfId="1810" xr:uid="{00000000-0005-0000-0000-0000DD080000}"/>
    <cellStyle name="Calculation 2 3 2 2 2" xfId="3772" xr:uid="{00000000-0005-0000-0000-0000DE080000}"/>
    <cellStyle name="Calculation 2 3 2 2 2 2" xfId="7828" xr:uid="{00000000-0005-0000-0000-0000DF080000}"/>
    <cellStyle name="Calculation 2 3 2 2 2 2 2" xfId="23685" xr:uid="{00000000-0005-0000-0000-0000E0080000}"/>
    <cellStyle name="Calculation 2 3 2 2 2 3" xfId="14107" xr:uid="{00000000-0005-0000-0000-0000E1080000}"/>
    <cellStyle name="Calculation 2 3 2 2 2 3 2" xfId="28939" xr:uid="{00000000-0005-0000-0000-0000E2080000}"/>
    <cellStyle name="Calculation 2 3 2 2 2 4" xfId="21341" xr:uid="{00000000-0005-0000-0000-0000E3080000}"/>
    <cellStyle name="Calculation 2 3 2 2 3" xfId="4788" xr:uid="{00000000-0005-0000-0000-0000E4080000}"/>
    <cellStyle name="Calculation 2 3 2 2 3 2" xfId="8827" xr:uid="{00000000-0005-0000-0000-0000E5080000}"/>
    <cellStyle name="Calculation 2 3 2 2 3 2 2" xfId="24325" xr:uid="{00000000-0005-0000-0000-0000E6080000}"/>
    <cellStyle name="Calculation 2 3 2 2 3 3" xfId="15112" xr:uid="{00000000-0005-0000-0000-0000E7080000}"/>
    <cellStyle name="Calculation 2 3 2 2 3 3 2" xfId="29944" xr:uid="{00000000-0005-0000-0000-0000E8080000}"/>
    <cellStyle name="Calculation 2 3 2 2 3 4" xfId="21863" xr:uid="{00000000-0005-0000-0000-0000E9080000}"/>
    <cellStyle name="Calculation 2 3 2 2 4" xfId="2778" xr:uid="{00000000-0005-0000-0000-0000EA080000}"/>
    <cellStyle name="Calculation 2 3 2 2 4 2" xfId="6869" xr:uid="{00000000-0005-0000-0000-0000EB080000}"/>
    <cellStyle name="Calculation 2 3 2 2 4 2 2" xfId="23076" xr:uid="{00000000-0005-0000-0000-0000EC080000}"/>
    <cellStyle name="Calculation 2 3 2 2 4 3" xfId="13116" xr:uid="{00000000-0005-0000-0000-0000ED080000}"/>
    <cellStyle name="Calculation 2 3 2 2 4 3 2" xfId="27948" xr:uid="{00000000-0005-0000-0000-0000EE080000}"/>
    <cellStyle name="Calculation 2 3 2 2 4 4" xfId="20736" xr:uid="{00000000-0005-0000-0000-0000EF080000}"/>
    <cellStyle name="Calculation 2 3 2 2 5" xfId="5942" xr:uid="{00000000-0005-0000-0000-0000F0080000}"/>
    <cellStyle name="Calculation 2 3 2 2 5 2" xfId="16134" xr:uid="{00000000-0005-0000-0000-0000F1080000}"/>
    <cellStyle name="Calculation 2 3 2 2 5 2 2" xfId="30966" xr:uid="{00000000-0005-0000-0000-0000F2080000}"/>
    <cellStyle name="Calculation 2 3 2 2 5 3" xfId="22507" xr:uid="{00000000-0005-0000-0000-0000F3080000}"/>
    <cellStyle name="Calculation 2 3 2 2 6" xfId="12204" xr:uid="{00000000-0005-0000-0000-0000F4080000}"/>
    <cellStyle name="Calculation 2 3 2 2 6 2" xfId="27036" xr:uid="{00000000-0005-0000-0000-0000F5080000}"/>
    <cellStyle name="Calculation 2 3 2 2 7" xfId="9800" xr:uid="{00000000-0005-0000-0000-0000F6080000}"/>
    <cellStyle name="Calculation 2 3 2 2 7 2" xfId="20051" xr:uid="{00000000-0005-0000-0000-0000F7080000}"/>
    <cellStyle name="Calculation 2 3 2 3" xfId="4047" xr:uid="{00000000-0005-0000-0000-0000F8080000}"/>
    <cellStyle name="Calculation 2 3 2 3 2" xfId="8094" xr:uid="{00000000-0005-0000-0000-0000F9080000}"/>
    <cellStyle name="Calculation 2 3 2 3 2 2" xfId="23858" xr:uid="{00000000-0005-0000-0000-0000FA080000}"/>
    <cellStyle name="Calculation 2 3 2 3 3" xfId="14379" xr:uid="{00000000-0005-0000-0000-0000FB080000}"/>
    <cellStyle name="Calculation 2 3 2 3 3 2" xfId="29211" xr:uid="{00000000-0005-0000-0000-0000FC080000}"/>
    <cellStyle name="Calculation 2 3 2 3 4" xfId="21492" xr:uid="{00000000-0005-0000-0000-0000FD080000}"/>
    <cellStyle name="Calculation 2 3 2 4" xfId="3360" xr:uid="{00000000-0005-0000-0000-0000FE080000}"/>
    <cellStyle name="Calculation 2 3 2 4 2" xfId="7423" xr:uid="{00000000-0005-0000-0000-0000FF080000}"/>
    <cellStyle name="Calculation 2 3 2 4 2 2" xfId="23424" xr:uid="{00000000-0005-0000-0000-000000090000}"/>
    <cellStyle name="Calculation 2 3 2 4 3" xfId="13697" xr:uid="{00000000-0005-0000-0000-000001090000}"/>
    <cellStyle name="Calculation 2 3 2 4 3 2" xfId="28529" xr:uid="{00000000-0005-0000-0000-000002090000}"/>
    <cellStyle name="Calculation 2 3 2 4 4" xfId="21109" xr:uid="{00000000-0005-0000-0000-000003090000}"/>
    <cellStyle name="Calculation 2 3 2 5" xfId="2358" xr:uid="{00000000-0005-0000-0000-000004090000}"/>
    <cellStyle name="Calculation 2 3 2 5 2" xfId="6470" xr:uid="{00000000-0005-0000-0000-000005090000}"/>
    <cellStyle name="Calculation 2 3 2 5 2 2" xfId="22840" xr:uid="{00000000-0005-0000-0000-000006090000}"/>
    <cellStyle name="Calculation 2 3 2 5 3" xfId="12697" xr:uid="{00000000-0005-0000-0000-000007090000}"/>
    <cellStyle name="Calculation 2 3 2 5 3 2" xfId="27529" xr:uid="{00000000-0005-0000-0000-000008090000}"/>
    <cellStyle name="Calculation 2 3 2 5 4" xfId="20482" xr:uid="{00000000-0005-0000-0000-000009090000}"/>
    <cellStyle name="Calculation 2 3 2 6" xfId="5483" xr:uid="{00000000-0005-0000-0000-00000A090000}"/>
    <cellStyle name="Calculation 2 3 2 6 2" xfId="15718" xr:uid="{00000000-0005-0000-0000-00000B090000}"/>
    <cellStyle name="Calculation 2 3 2 6 2 2" xfId="30550" xr:uid="{00000000-0005-0000-0000-00000C090000}"/>
    <cellStyle name="Calculation 2 3 2 6 3" xfId="22211" xr:uid="{00000000-0005-0000-0000-00000D090000}"/>
    <cellStyle name="Calculation 2 3 2 7" xfId="9319" xr:uid="{00000000-0005-0000-0000-00000E090000}"/>
    <cellStyle name="Calculation 2 3 2 7 2" xfId="24625" xr:uid="{00000000-0005-0000-0000-00000F090000}"/>
    <cellStyle name="Calculation 2 3 2 8" xfId="9404" xr:uid="{00000000-0005-0000-0000-000010090000}"/>
    <cellStyle name="Calculation 2 3 2 8 2" xfId="19708" xr:uid="{00000000-0005-0000-0000-000011090000}"/>
    <cellStyle name="Calculation 2 3 3" xfId="1440" xr:uid="{00000000-0005-0000-0000-000012090000}"/>
    <cellStyle name="Calculation 2 3 3 2" xfId="1941" xr:uid="{00000000-0005-0000-0000-000013090000}"/>
    <cellStyle name="Calculation 2 3 3 2 2" xfId="3522" xr:uid="{00000000-0005-0000-0000-000014090000}"/>
    <cellStyle name="Calculation 2 3 3 2 2 2" xfId="7584" xr:uid="{00000000-0005-0000-0000-000015090000}"/>
    <cellStyle name="Calculation 2 3 3 2 2 2 2" xfId="23532" xr:uid="{00000000-0005-0000-0000-000016090000}"/>
    <cellStyle name="Calculation 2 3 3 2 2 3" xfId="13859" xr:uid="{00000000-0005-0000-0000-000017090000}"/>
    <cellStyle name="Calculation 2 3 3 2 2 3 2" xfId="28691" xr:uid="{00000000-0005-0000-0000-000018090000}"/>
    <cellStyle name="Calculation 2 3 3 2 2 4" xfId="21207" xr:uid="{00000000-0005-0000-0000-000019090000}"/>
    <cellStyle name="Calculation 2 3 3 2 3" xfId="4920" xr:uid="{00000000-0005-0000-0000-00001A090000}"/>
    <cellStyle name="Calculation 2 3 3 2 3 2" xfId="8959" xr:uid="{00000000-0005-0000-0000-00001B090000}"/>
    <cellStyle name="Calculation 2 3 3 2 3 2 2" xfId="24425" xr:uid="{00000000-0005-0000-0000-00001C090000}"/>
    <cellStyle name="Calculation 2 3 3 2 3 3" xfId="15242" xr:uid="{00000000-0005-0000-0000-00001D090000}"/>
    <cellStyle name="Calculation 2 3 3 2 3 3 2" xfId="30074" xr:uid="{00000000-0005-0000-0000-00001E090000}"/>
    <cellStyle name="Calculation 2 3 3 2 3 4" xfId="21955" xr:uid="{00000000-0005-0000-0000-00001F090000}"/>
    <cellStyle name="Calculation 2 3 3 2 4" xfId="2910" xr:uid="{00000000-0005-0000-0000-000020090000}"/>
    <cellStyle name="Calculation 2 3 3 2 4 2" xfId="6994" xr:uid="{00000000-0005-0000-0000-000021090000}"/>
    <cellStyle name="Calculation 2 3 3 2 4 2 2" xfId="23168" xr:uid="{00000000-0005-0000-0000-000022090000}"/>
    <cellStyle name="Calculation 2 3 3 2 4 3" xfId="13248" xr:uid="{00000000-0005-0000-0000-000023090000}"/>
    <cellStyle name="Calculation 2 3 3 2 4 3 2" xfId="28080" xr:uid="{00000000-0005-0000-0000-000024090000}"/>
    <cellStyle name="Calculation 2 3 3 2 4 4" xfId="20836" xr:uid="{00000000-0005-0000-0000-000025090000}"/>
    <cellStyle name="Calculation 2 3 3 2 5" xfId="6071" xr:uid="{00000000-0005-0000-0000-000026090000}"/>
    <cellStyle name="Calculation 2 3 3 2 5 2" xfId="16258" xr:uid="{00000000-0005-0000-0000-000027090000}"/>
    <cellStyle name="Calculation 2 3 3 2 5 2 2" xfId="31090" xr:uid="{00000000-0005-0000-0000-000028090000}"/>
    <cellStyle name="Calculation 2 3 3 2 5 3" xfId="22604" xr:uid="{00000000-0005-0000-0000-000029090000}"/>
    <cellStyle name="Calculation 2 3 3 2 6" xfId="12328" xr:uid="{00000000-0005-0000-0000-00002A090000}"/>
    <cellStyle name="Calculation 2 3 3 2 6 2" xfId="27160" xr:uid="{00000000-0005-0000-0000-00002B090000}"/>
    <cellStyle name="Calculation 2 3 3 2 7" xfId="9925" xr:uid="{00000000-0005-0000-0000-00002C090000}"/>
    <cellStyle name="Calculation 2 3 3 2 7 2" xfId="20127" xr:uid="{00000000-0005-0000-0000-00002D090000}"/>
    <cellStyle name="Calculation 2 3 3 3" xfId="3899" xr:uid="{00000000-0005-0000-0000-00002E090000}"/>
    <cellStyle name="Calculation 2 3 3 3 2" xfId="7950" xr:uid="{00000000-0005-0000-0000-00002F090000}"/>
    <cellStyle name="Calculation 2 3 3 3 2 2" xfId="23769" xr:uid="{00000000-0005-0000-0000-000030090000}"/>
    <cellStyle name="Calculation 2 3 3 3 3" xfId="14232" xr:uid="{00000000-0005-0000-0000-000031090000}"/>
    <cellStyle name="Calculation 2 3 3 3 3 2" xfId="29064" xr:uid="{00000000-0005-0000-0000-000032090000}"/>
    <cellStyle name="Calculation 2 3 3 3 4" xfId="21410" xr:uid="{00000000-0005-0000-0000-000033090000}"/>
    <cellStyle name="Calculation 2 3 3 4" xfId="4500" xr:uid="{00000000-0005-0000-0000-000034090000}"/>
    <cellStyle name="Calculation 2 3 3 4 2" xfId="8539" xr:uid="{00000000-0005-0000-0000-000035090000}"/>
    <cellStyle name="Calculation 2 3 3 4 2 2" xfId="24165" xr:uid="{00000000-0005-0000-0000-000036090000}"/>
    <cellStyle name="Calculation 2 3 3 4 3" xfId="14827" xr:uid="{00000000-0005-0000-0000-000037090000}"/>
    <cellStyle name="Calculation 2 3 3 4 3 2" xfId="29659" xr:uid="{00000000-0005-0000-0000-000038090000}"/>
    <cellStyle name="Calculation 2 3 3 4 4" xfId="21725" xr:uid="{00000000-0005-0000-0000-000039090000}"/>
    <cellStyle name="Calculation 2 3 3 5" xfId="2490" xr:uid="{00000000-0005-0000-0000-00003A090000}"/>
    <cellStyle name="Calculation 2 3 3 5 2" xfId="6596" xr:uid="{00000000-0005-0000-0000-00003B090000}"/>
    <cellStyle name="Calculation 2 3 3 5 2 2" xfId="22934" xr:uid="{00000000-0005-0000-0000-00003C090000}"/>
    <cellStyle name="Calculation 2 3 3 5 3" xfId="12828" xr:uid="{00000000-0005-0000-0000-00003D090000}"/>
    <cellStyle name="Calculation 2 3 3 5 3 2" xfId="27660" xr:uid="{00000000-0005-0000-0000-00003E090000}"/>
    <cellStyle name="Calculation 2 3 3 5 4" xfId="20580" xr:uid="{00000000-0005-0000-0000-00003F090000}"/>
    <cellStyle name="Calculation 2 3 3 6" xfId="5613" xr:uid="{00000000-0005-0000-0000-000040090000}"/>
    <cellStyle name="Calculation 2 3 3 6 2" xfId="15848" xr:uid="{00000000-0005-0000-0000-000041090000}"/>
    <cellStyle name="Calculation 2 3 3 6 2 2" xfId="30680" xr:uid="{00000000-0005-0000-0000-000042090000}"/>
    <cellStyle name="Calculation 2 3 3 6 3" xfId="22309" xr:uid="{00000000-0005-0000-0000-000043090000}"/>
    <cellStyle name="Calculation 2 3 3 7" xfId="11857" xr:uid="{00000000-0005-0000-0000-000044090000}"/>
    <cellStyle name="Calculation 2 3 3 7 2" xfId="26689" xr:uid="{00000000-0005-0000-0000-000045090000}"/>
    <cellStyle name="Calculation 2 3 3 8" xfId="9530" xr:uid="{00000000-0005-0000-0000-000046090000}"/>
    <cellStyle name="Calculation 2 3 3 8 2" xfId="19832" xr:uid="{00000000-0005-0000-0000-000047090000}"/>
    <cellStyle name="Calculation 2 3 4" xfId="1414" xr:uid="{00000000-0005-0000-0000-000048090000}"/>
    <cellStyle name="Calculation 2 3 4 2" xfId="1916" xr:uid="{00000000-0005-0000-0000-000049090000}"/>
    <cellStyle name="Calculation 2 3 4 2 2" xfId="3724" xr:uid="{00000000-0005-0000-0000-00004A090000}"/>
    <cellStyle name="Calculation 2 3 4 2 2 2" xfId="7780" xr:uid="{00000000-0005-0000-0000-00004B090000}"/>
    <cellStyle name="Calculation 2 3 4 2 2 2 2" xfId="23659" xr:uid="{00000000-0005-0000-0000-00004C090000}"/>
    <cellStyle name="Calculation 2 3 4 2 2 3" xfId="14059" xr:uid="{00000000-0005-0000-0000-00004D090000}"/>
    <cellStyle name="Calculation 2 3 4 2 2 3 2" xfId="28891" xr:uid="{00000000-0005-0000-0000-00004E090000}"/>
    <cellStyle name="Calculation 2 3 4 2 2 4" xfId="21319" xr:uid="{00000000-0005-0000-0000-00004F090000}"/>
    <cellStyle name="Calculation 2 3 4 2 3" xfId="4894" xr:uid="{00000000-0005-0000-0000-000050090000}"/>
    <cellStyle name="Calculation 2 3 4 2 3 2" xfId="8933" xr:uid="{00000000-0005-0000-0000-000051090000}"/>
    <cellStyle name="Calculation 2 3 4 2 3 2 2" xfId="24399" xr:uid="{00000000-0005-0000-0000-000052090000}"/>
    <cellStyle name="Calculation 2 3 4 2 3 3" xfId="15217" xr:uid="{00000000-0005-0000-0000-000053090000}"/>
    <cellStyle name="Calculation 2 3 4 2 3 3 2" xfId="30049" xr:uid="{00000000-0005-0000-0000-000054090000}"/>
    <cellStyle name="Calculation 2 3 4 2 3 4" xfId="21931" xr:uid="{00000000-0005-0000-0000-000055090000}"/>
    <cellStyle name="Calculation 2 3 4 2 4" xfId="2884" xr:uid="{00000000-0005-0000-0000-000056090000}"/>
    <cellStyle name="Calculation 2 3 4 2 4 2" xfId="6969" xr:uid="{00000000-0005-0000-0000-000057090000}"/>
    <cellStyle name="Calculation 2 3 4 2 4 2 2" xfId="23144" xr:uid="{00000000-0005-0000-0000-000058090000}"/>
    <cellStyle name="Calculation 2 3 4 2 4 3" xfId="13222" xr:uid="{00000000-0005-0000-0000-000059090000}"/>
    <cellStyle name="Calculation 2 3 4 2 4 3 2" xfId="28054" xr:uid="{00000000-0005-0000-0000-00005A090000}"/>
    <cellStyle name="Calculation 2 3 4 2 4 4" xfId="20810" xr:uid="{00000000-0005-0000-0000-00005B090000}"/>
    <cellStyle name="Calculation 2 3 4 2 5" xfId="6047" xr:uid="{00000000-0005-0000-0000-00005C090000}"/>
    <cellStyle name="Calculation 2 3 4 2 5 2" xfId="16234" xr:uid="{00000000-0005-0000-0000-00005D090000}"/>
    <cellStyle name="Calculation 2 3 4 2 5 2 2" xfId="31066" xr:uid="{00000000-0005-0000-0000-00005E090000}"/>
    <cellStyle name="Calculation 2 3 4 2 5 3" xfId="22580" xr:uid="{00000000-0005-0000-0000-00005F090000}"/>
    <cellStyle name="Calculation 2 3 4 2 6" xfId="12304" xr:uid="{00000000-0005-0000-0000-000060090000}"/>
    <cellStyle name="Calculation 2 3 4 2 6 2" xfId="27136" xr:uid="{00000000-0005-0000-0000-000061090000}"/>
    <cellStyle name="Calculation 2 3 4 2 7" xfId="9900" xr:uid="{00000000-0005-0000-0000-000062090000}"/>
    <cellStyle name="Calculation 2 3 4 2 7 2" xfId="20103" xr:uid="{00000000-0005-0000-0000-000063090000}"/>
    <cellStyle name="Calculation 2 3 4 3" xfId="3646" xr:uid="{00000000-0005-0000-0000-000064090000}"/>
    <cellStyle name="Calculation 2 3 4 3 2" xfId="7705" xr:uid="{00000000-0005-0000-0000-000065090000}"/>
    <cellStyle name="Calculation 2 3 4 3 2 2" xfId="23605" xr:uid="{00000000-0005-0000-0000-000066090000}"/>
    <cellStyle name="Calculation 2 3 4 3 3" xfId="13981" xr:uid="{00000000-0005-0000-0000-000067090000}"/>
    <cellStyle name="Calculation 2 3 4 3 3 2" xfId="28813" xr:uid="{00000000-0005-0000-0000-000068090000}"/>
    <cellStyle name="Calculation 2 3 4 3 4" xfId="21270" xr:uid="{00000000-0005-0000-0000-000069090000}"/>
    <cellStyle name="Calculation 2 3 4 4" xfId="4474" xr:uid="{00000000-0005-0000-0000-00006A090000}"/>
    <cellStyle name="Calculation 2 3 4 4 2" xfId="8513" xr:uid="{00000000-0005-0000-0000-00006B090000}"/>
    <cellStyle name="Calculation 2 3 4 4 2 2" xfId="24139" xr:uid="{00000000-0005-0000-0000-00006C090000}"/>
    <cellStyle name="Calculation 2 3 4 4 3" xfId="14802" xr:uid="{00000000-0005-0000-0000-00006D090000}"/>
    <cellStyle name="Calculation 2 3 4 4 3 2" xfId="29634" xr:uid="{00000000-0005-0000-0000-00006E090000}"/>
    <cellStyle name="Calculation 2 3 4 4 4" xfId="21701" xr:uid="{00000000-0005-0000-0000-00006F090000}"/>
    <cellStyle name="Calculation 2 3 4 5" xfId="2464" xr:uid="{00000000-0005-0000-0000-000070090000}"/>
    <cellStyle name="Calculation 2 3 4 5 2" xfId="6570" xr:uid="{00000000-0005-0000-0000-000071090000}"/>
    <cellStyle name="Calculation 2 3 4 5 2 2" xfId="22908" xr:uid="{00000000-0005-0000-0000-000072090000}"/>
    <cellStyle name="Calculation 2 3 4 5 3" xfId="12803" xr:uid="{00000000-0005-0000-0000-000073090000}"/>
    <cellStyle name="Calculation 2 3 4 5 3 2" xfId="27635" xr:uid="{00000000-0005-0000-0000-000074090000}"/>
    <cellStyle name="Calculation 2 3 4 5 4" xfId="20556" xr:uid="{00000000-0005-0000-0000-000075090000}"/>
    <cellStyle name="Calculation 2 3 4 6" xfId="5588" xr:uid="{00000000-0005-0000-0000-000076090000}"/>
    <cellStyle name="Calculation 2 3 4 6 2" xfId="15823" xr:uid="{00000000-0005-0000-0000-000077090000}"/>
    <cellStyle name="Calculation 2 3 4 6 2 2" xfId="30655" xr:uid="{00000000-0005-0000-0000-000078090000}"/>
    <cellStyle name="Calculation 2 3 4 6 3" xfId="22284" xr:uid="{00000000-0005-0000-0000-000079090000}"/>
    <cellStyle name="Calculation 2 3 4 7" xfId="11833" xr:uid="{00000000-0005-0000-0000-00007A090000}"/>
    <cellStyle name="Calculation 2 3 4 7 2" xfId="26665" xr:uid="{00000000-0005-0000-0000-00007B090000}"/>
    <cellStyle name="Calculation 2 3 4 8" xfId="9505" xr:uid="{00000000-0005-0000-0000-00007C090000}"/>
    <cellStyle name="Calculation 2 3 4 8 2" xfId="19808" xr:uid="{00000000-0005-0000-0000-00007D090000}"/>
    <cellStyle name="Calculation 2 3 5" xfId="1426" xr:uid="{00000000-0005-0000-0000-00007E090000}"/>
    <cellStyle name="Calculation 2 3 5 2" xfId="1927" xr:uid="{00000000-0005-0000-0000-00007F090000}"/>
    <cellStyle name="Calculation 2 3 5 2 2" xfId="3573" xr:uid="{00000000-0005-0000-0000-000080090000}"/>
    <cellStyle name="Calculation 2 3 5 2 2 2" xfId="7635" xr:uid="{00000000-0005-0000-0000-000081090000}"/>
    <cellStyle name="Calculation 2 3 5 2 2 2 2" xfId="23559" xr:uid="{00000000-0005-0000-0000-000082090000}"/>
    <cellStyle name="Calculation 2 3 5 2 2 3" xfId="13909" xr:uid="{00000000-0005-0000-0000-000083090000}"/>
    <cellStyle name="Calculation 2 3 5 2 2 3 2" xfId="28741" xr:uid="{00000000-0005-0000-0000-000084090000}"/>
    <cellStyle name="Calculation 2 3 5 2 2 4" xfId="21229" xr:uid="{00000000-0005-0000-0000-000085090000}"/>
    <cellStyle name="Calculation 2 3 5 2 3" xfId="4906" xr:uid="{00000000-0005-0000-0000-000086090000}"/>
    <cellStyle name="Calculation 2 3 5 2 3 2" xfId="8945" xr:uid="{00000000-0005-0000-0000-000087090000}"/>
    <cellStyle name="Calculation 2 3 5 2 3 2 2" xfId="24411" xr:uid="{00000000-0005-0000-0000-000088090000}"/>
    <cellStyle name="Calculation 2 3 5 2 3 3" xfId="15228" xr:uid="{00000000-0005-0000-0000-000089090000}"/>
    <cellStyle name="Calculation 2 3 5 2 3 3 2" xfId="30060" xr:uid="{00000000-0005-0000-0000-00008A090000}"/>
    <cellStyle name="Calculation 2 3 5 2 3 4" xfId="21941" xr:uid="{00000000-0005-0000-0000-00008B090000}"/>
    <cellStyle name="Calculation 2 3 5 2 4" xfId="2896" xr:uid="{00000000-0005-0000-0000-00008C090000}"/>
    <cellStyle name="Calculation 2 3 5 2 4 2" xfId="6980" xr:uid="{00000000-0005-0000-0000-00008D090000}"/>
    <cellStyle name="Calculation 2 3 5 2 4 2 2" xfId="23154" xr:uid="{00000000-0005-0000-0000-00008E090000}"/>
    <cellStyle name="Calculation 2 3 5 2 4 3" xfId="13234" xr:uid="{00000000-0005-0000-0000-00008F090000}"/>
    <cellStyle name="Calculation 2 3 5 2 4 3 2" xfId="28066" xr:uid="{00000000-0005-0000-0000-000090090000}"/>
    <cellStyle name="Calculation 2 3 5 2 4 4" xfId="20822" xr:uid="{00000000-0005-0000-0000-000091090000}"/>
    <cellStyle name="Calculation 2 3 5 2 5" xfId="6057" xr:uid="{00000000-0005-0000-0000-000092090000}"/>
    <cellStyle name="Calculation 2 3 5 2 5 2" xfId="16244" xr:uid="{00000000-0005-0000-0000-000093090000}"/>
    <cellStyle name="Calculation 2 3 5 2 5 2 2" xfId="31076" xr:uid="{00000000-0005-0000-0000-000094090000}"/>
    <cellStyle name="Calculation 2 3 5 2 5 3" xfId="22590" xr:uid="{00000000-0005-0000-0000-000095090000}"/>
    <cellStyle name="Calculation 2 3 5 2 6" xfId="12314" xr:uid="{00000000-0005-0000-0000-000096090000}"/>
    <cellStyle name="Calculation 2 3 5 2 6 2" xfId="27146" xr:uid="{00000000-0005-0000-0000-000097090000}"/>
    <cellStyle name="Calculation 2 3 5 2 7" xfId="9911" xr:uid="{00000000-0005-0000-0000-000098090000}"/>
    <cellStyle name="Calculation 2 3 5 2 7 2" xfId="20113" xr:uid="{00000000-0005-0000-0000-000099090000}"/>
    <cellStyle name="Calculation 2 3 5 3" xfId="3717" xr:uid="{00000000-0005-0000-0000-00009A090000}"/>
    <cellStyle name="Calculation 2 3 5 3 2" xfId="7773" xr:uid="{00000000-0005-0000-0000-00009B090000}"/>
    <cellStyle name="Calculation 2 3 5 3 2 2" xfId="23654" xr:uid="{00000000-0005-0000-0000-00009C090000}"/>
    <cellStyle name="Calculation 2 3 5 3 3" xfId="14052" xr:uid="{00000000-0005-0000-0000-00009D090000}"/>
    <cellStyle name="Calculation 2 3 5 3 3 2" xfId="28884" xr:uid="{00000000-0005-0000-0000-00009E090000}"/>
    <cellStyle name="Calculation 2 3 5 3 4" xfId="21314" xr:uid="{00000000-0005-0000-0000-00009F090000}"/>
    <cellStyle name="Calculation 2 3 5 4" xfId="4486" xr:uid="{00000000-0005-0000-0000-0000A0090000}"/>
    <cellStyle name="Calculation 2 3 5 4 2" xfId="8525" xr:uid="{00000000-0005-0000-0000-0000A1090000}"/>
    <cellStyle name="Calculation 2 3 5 4 2 2" xfId="24151" xr:uid="{00000000-0005-0000-0000-0000A2090000}"/>
    <cellStyle name="Calculation 2 3 5 4 3" xfId="14813" xr:uid="{00000000-0005-0000-0000-0000A3090000}"/>
    <cellStyle name="Calculation 2 3 5 4 3 2" xfId="29645" xr:uid="{00000000-0005-0000-0000-0000A4090000}"/>
    <cellStyle name="Calculation 2 3 5 4 4" xfId="21711" xr:uid="{00000000-0005-0000-0000-0000A5090000}"/>
    <cellStyle name="Calculation 2 3 5 5" xfId="2476" xr:uid="{00000000-0005-0000-0000-0000A6090000}"/>
    <cellStyle name="Calculation 2 3 5 5 2" xfId="6582" xr:uid="{00000000-0005-0000-0000-0000A7090000}"/>
    <cellStyle name="Calculation 2 3 5 5 2 2" xfId="22920" xr:uid="{00000000-0005-0000-0000-0000A8090000}"/>
    <cellStyle name="Calculation 2 3 5 5 3" xfId="12814" xr:uid="{00000000-0005-0000-0000-0000A9090000}"/>
    <cellStyle name="Calculation 2 3 5 5 3 2" xfId="27646" xr:uid="{00000000-0005-0000-0000-0000AA090000}"/>
    <cellStyle name="Calculation 2 3 5 5 4" xfId="20566" xr:uid="{00000000-0005-0000-0000-0000AB090000}"/>
    <cellStyle name="Calculation 2 3 5 6" xfId="5599" xr:uid="{00000000-0005-0000-0000-0000AC090000}"/>
    <cellStyle name="Calculation 2 3 5 6 2" xfId="15834" xr:uid="{00000000-0005-0000-0000-0000AD090000}"/>
    <cellStyle name="Calculation 2 3 5 6 2 2" xfId="30666" xr:uid="{00000000-0005-0000-0000-0000AE090000}"/>
    <cellStyle name="Calculation 2 3 5 6 3" xfId="22295" xr:uid="{00000000-0005-0000-0000-0000AF090000}"/>
    <cellStyle name="Calculation 2 3 5 7" xfId="11843" xr:uid="{00000000-0005-0000-0000-0000B0090000}"/>
    <cellStyle name="Calculation 2 3 5 7 2" xfId="26675" xr:uid="{00000000-0005-0000-0000-0000B1090000}"/>
    <cellStyle name="Calculation 2 3 5 8" xfId="9516" xr:uid="{00000000-0005-0000-0000-0000B2090000}"/>
    <cellStyle name="Calculation 2 3 5 8 2" xfId="19818" xr:uid="{00000000-0005-0000-0000-0000B3090000}"/>
    <cellStyle name="Calculation 2 3 6" xfId="1717" xr:uid="{00000000-0005-0000-0000-0000B4090000}"/>
    <cellStyle name="Calculation 2 3 6 2" xfId="3507" xr:uid="{00000000-0005-0000-0000-0000B5090000}"/>
    <cellStyle name="Calculation 2 3 6 2 2" xfId="7569" xr:uid="{00000000-0005-0000-0000-0000B6090000}"/>
    <cellStyle name="Calculation 2 3 6 2 2 2" xfId="23521" xr:uid="{00000000-0005-0000-0000-0000B7090000}"/>
    <cellStyle name="Calculation 2 3 6 2 3" xfId="13844" xr:uid="{00000000-0005-0000-0000-0000B8090000}"/>
    <cellStyle name="Calculation 2 3 6 2 3 2" xfId="28676" xr:uid="{00000000-0005-0000-0000-0000B9090000}"/>
    <cellStyle name="Calculation 2 3 6 2 4" xfId="21196" xr:uid="{00000000-0005-0000-0000-0000BA090000}"/>
    <cellStyle name="Calculation 2 3 6 3" xfId="4710" xr:uid="{00000000-0005-0000-0000-0000BB090000}"/>
    <cellStyle name="Calculation 2 3 6 3 2" xfId="8749" xr:uid="{00000000-0005-0000-0000-0000BC090000}"/>
    <cellStyle name="Calculation 2 3 6 3 2 2" xfId="24279" xr:uid="{00000000-0005-0000-0000-0000BD090000}"/>
    <cellStyle name="Calculation 2 3 6 3 3" xfId="15034" xr:uid="{00000000-0005-0000-0000-0000BE090000}"/>
    <cellStyle name="Calculation 2 3 6 3 3 2" xfId="29866" xr:uid="{00000000-0005-0000-0000-0000BF090000}"/>
    <cellStyle name="Calculation 2 3 6 3 4" xfId="21817" xr:uid="{00000000-0005-0000-0000-0000C0090000}"/>
    <cellStyle name="Calculation 2 3 6 4" xfId="2700" xr:uid="{00000000-0005-0000-0000-0000C1090000}"/>
    <cellStyle name="Calculation 2 3 6 4 2" xfId="6791" xr:uid="{00000000-0005-0000-0000-0000C2090000}"/>
    <cellStyle name="Calculation 2 3 6 4 2 2" xfId="23030" xr:uid="{00000000-0005-0000-0000-0000C3090000}"/>
    <cellStyle name="Calculation 2 3 6 4 3" xfId="13038" xr:uid="{00000000-0005-0000-0000-0000C4090000}"/>
    <cellStyle name="Calculation 2 3 6 4 3 2" xfId="27870" xr:uid="{00000000-0005-0000-0000-0000C5090000}"/>
    <cellStyle name="Calculation 2 3 6 4 4" xfId="20690" xr:uid="{00000000-0005-0000-0000-0000C6090000}"/>
    <cellStyle name="Calculation 2 3 6 5" xfId="5849" xr:uid="{00000000-0005-0000-0000-0000C7090000}"/>
    <cellStyle name="Calculation 2 3 6 5 2" xfId="16041" xr:uid="{00000000-0005-0000-0000-0000C8090000}"/>
    <cellStyle name="Calculation 2 3 6 5 2 2" xfId="30873" xr:uid="{00000000-0005-0000-0000-0000C9090000}"/>
    <cellStyle name="Calculation 2 3 6 5 3" xfId="22446" xr:uid="{00000000-0005-0000-0000-0000CA090000}"/>
    <cellStyle name="Calculation 2 3 6 6" xfId="12111" xr:uid="{00000000-0005-0000-0000-0000CB090000}"/>
    <cellStyle name="Calculation 2 3 6 6 2" xfId="26943" xr:uid="{00000000-0005-0000-0000-0000CC090000}"/>
    <cellStyle name="Calculation 2 3 6 7" xfId="9722" xr:uid="{00000000-0005-0000-0000-0000CD090000}"/>
    <cellStyle name="Calculation 2 3 6 7 2" xfId="20020" xr:uid="{00000000-0005-0000-0000-0000CE090000}"/>
    <cellStyle name="Calculation 2 3 7" xfId="2234" xr:uid="{00000000-0005-0000-0000-0000CF090000}"/>
    <cellStyle name="Calculation 2 3 7 2" xfId="3630" xr:uid="{00000000-0005-0000-0000-0000D0090000}"/>
    <cellStyle name="Calculation 2 3 7 2 2" xfId="7689" xr:uid="{00000000-0005-0000-0000-0000D1090000}"/>
    <cellStyle name="Calculation 2 3 7 2 2 2" xfId="23596" xr:uid="{00000000-0005-0000-0000-0000D2090000}"/>
    <cellStyle name="Calculation 2 3 7 2 3" xfId="13965" xr:uid="{00000000-0005-0000-0000-0000D3090000}"/>
    <cellStyle name="Calculation 2 3 7 2 3 2" xfId="28797" xr:uid="{00000000-0005-0000-0000-0000D4090000}"/>
    <cellStyle name="Calculation 2 3 7 2 4" xfId="21261" xr:uid="{00000000-0005-0000-0000-0000D5090000}"/>
    <cellStyle name="Calculation 2 3 7 3" xfId="5202" xr:uid="{00000000-0005-0000-0000-0000D6090000}"/>
    <cellStyle name="Calculation 2 3 7 3 2" xfId="9241" xr:uid="{00000000-0005-0000-0000-0000D7090000}"/>
    <cellStyle name="Calculation 2 3 7 3 2 2" xfId="24579" xr:uid="{00000000-0005-0000-0000-0000D8090000}"/>
    <cellStyle name="Calculation 2 3 7 3 3" xfId="15520" xr:uid="{00000000-0005-0000-0000-0000D9090000}"/>
    <cellStyle name="Calculation 2 3 7 3 3 2" xfId="30352" xr:uid="{00000000-0005-0000-0000-0000DA090000}"/>
    <cellStyle name="Calculation 2 3 7 3 4" xfId="22086" xr:uid="{00000000-0005-0000-0000-0000DB090000}"/>
    <cellStyle name="Calculation 2 3 7 4" xfId="4232" xr:uid="{00000000-0005-0000-0000-0000DC090000}"/>
    <cellStyle name="Calculation 2 3 7 4 2" xfId="8273" xr:uid="{00000000-0005-0000-0000-0000DD090000}"/>
    <cellStyle name="Calculation 2 3 7 4 2 2" xfId="23968" xr:uid="{00000000-0005-0000-0000-0000DE090000}"/>
    <cellStyle name="Calculation 2 3 7 4 3" xfId="14564" xr:uid="{00000000-0005-0000-0000-0000DF090000}"/>
    <cellStyle name="Calculation 2 3 7 4 3 2" xfId="29396" xr:uid="{00000000-0005-0000-0000-0000E0090000}"/>
    <cellStyle name="Calculation 2 3 7 4 4" xfId="21593" xr:uid="{00000000-0005-0000-0000-0000E1090000}"/>
    <cellStyle name="Calculation 2 3 7 5" xfId="6348" xr:uid="{00000000-0005-0000-0000-0000E2090000}"/>
    <cellStyle name="Calculation 2 3 7 5 2" xfId="22750" xr:uid="{00000000-0005-0000-0000-0000E3090000}"/>
    <cellStyle name="Calculation 2 3 7 6" xfId="12602" xr:uid="{00000000-0005-0000-0000-0000E4090000}"/>
    <cellStyle name="Calculation 2 3 7 6 2" xfId="27434" xr:uid="{00000000-0005-0000-0000-0000E5090000}"/>
    <cellStyle name="Calculation 2 3 7 7" xfId="20429" xr:uid="{00000000-0005-0000-0000-0000E6090000}"/>
    <cellStyle name="Calculation 2 3 8" xfId="3466" xr:uid="{00000000-0005-0000-0000-0000E7090000}"/>
    <cellStyle name="Calculation 2 3 8 2" xfId="7529" xr:uid="{00000000-0005-0000-0000-0000E8090000}"/>
    <cellStyle name="Calculation 2 3 8 2 2" xfId="23496" xr:uid="{00000000-0005-0000-0000-0000E9090000}"/>
    <cellStyle name="Calculation 2 3 8 3" xfId="13803" xr:uid="{00000000-0005-0000-0000-0000EA090000}"/>
    <cellStyle name="Calculation 2 3 8 3 2" xfId="28635" xr:uid="{00000000-0005-0000-0000-0000EB090000}"/>
    <cellStyle name="Calculation 2 3 8 4" xfId="21171" xr:uid="{00000000-0005-0000-0000-0000EC090000}"/>
    <cellStyle name="Calculation 2 3 9" xfId="3300" xr:uid="{00000000-0005-0000-0000-0000ED090000}"/>
    <cellStyle name="Calculation 2 3 9 2" xfId="7364" xr:uid="{00000000-0005-0000-0000-0000EE090000}"/>
    <cellStyle name="Calculation 2 3 9 2 2" xfId="23387" xr:uid="{00000000-0005-0000-0000-0000EF090000}"/>
    <cellStyle name="Calculation 2 3 9 3" xfId="13637" xr:uid="{00000000-0005-0000-0000-0000F0090000}"/>
    <cellStyle name="Calculation 2 3 9 3 2" xfId="28469" xr:uid="{00000000-0005-0000-0000-0000F1090000}"/>
    <cellStyle name="Calculation 2 3 9 4" xfId="21074" xr:uid="{00000000-0005-0000-0000-0000F2090000}"/>
    <cellStyle name="Calculation 2 4" xfId="965" xr:uid="{00000000-0005-0000-0000-0000F3090000}"/>
    <cellStyle name="Calculation 2 4 10" xfId="2271" xr:uid="{00000000-0005-0000-0000-0000F4090000}"/>
    <cellStyle name="Calculation 2 4 10 2" xfId="6383" xr:uid="{00000000-0005-0000-0000-0000F5090000}"/>
    <cellStyle name="Calculation 2 4 10 2 2" xfId="22785" xr:uid="{00000000-0005-0000-0000-0000F6090000}"/>
    <cellStyle name="Calculation 2 4 10 3" xfId="12611" xr:uid="{00000000-0005-0000-0000-0000F7090000}"/>
    <cellStyle name="Calculation 2 4 10 3 2" xfId="27443" xr:uid="{00000000-0005-0000-0000-0000F8090000}"/>
    <cellStyle name="Calculation 2 4 10 4" xfId="20437" xr:uid="{00000000-0005-0000-0000-0000F9090000}"/>
    <cellStyle name="Calculation 2 4 11" xfId="5237" xr:uid="{00000000-0005-0000-0000-0000FA090000}"/>
    <cellStyle name="Calculation 2 4 11 2" xfId="15553" xr:uid="{00000000-0005-0000-0000-0000FB090000}"/>
    <cellStyle name="Calculation 2 4 11 2 2" xfId="30385" xr:uid="{00000000-0005-0000-0000-0000FC090000}"/>
    <cellStyle name="Calculation 2 4 11 3" xfId="22094" xr:uid="{00000000-0005-0000-0000-0000FD090000}"/>
    <cellStyle name="Calculation 2 4 12" xfId="5395" xr:uid="{00000000-0005-0000-0000-0000FE090000}"/>
    <cellStyle name="Calculation 2 4 12 2" xfId="15631" xr:uid="{00000000-0005-0000-0000-0000FF090000}"/>
    <cellStyle name="Calculation 2 4 12 2 2" xfId="30463" xr:uid="{00000000-0005-0000-0000-0000000A0000}"/>
    <cellStyle name="Calculation 2 4 12 3" xfId="22156" xr:uid="{00000000-0005-0000-0000-0000010A0000}"/>
    <cellStyle name="Calculation 2 4 13" xfId="9396" xr:uid="{00000000-0005-0000-0000-0000020A0000}"/>
    <cellStyle name="Calculation 2 4 13 2" xfId="24702" xr:uid="{00000000-0005-0000-0000-0000030A0000}"/>
    <cellStyle name="Calculation 2 4 14" xfId="6787" xr:uid="{00000000-0005-0000-0000-0000040A0000}"/>
    <cellStyle name="Calculation 2 4 14 2" xfId="18771" xr:uid="{00000000-0005-0000-0000-0000050A0000}"/>
    <cellStyle name="Calculation 2 4 2" xfId="1307" xr:uid="{00000000-0005-0000-0000-0000060A0000}"/>
    <cellStyle name="Calculation 2 4 2 2" xfId="1811" xr:uid="{00000000-0005-0000-0000-0000070A0000}"/>
    <cellStyle name="Calculation 2 4 2 2 2" xfId="3377" xr:uid="{00000000-0005-0000-0000-0000080A0000}"/>
    <cellStyle name="Calculation 2 4 2 2 2 2" xfId="7440" xr:uid="{00000000-0005-0000-0000-0000090A0000}"/>
    <cellStyle name="Calculation 2 4 2 2 2 2 2" xfId="23435" xr:uid="{00000000-0005-0000-0000-00000A0A0000}"/>
    <cellStyle name="Calculation 2 4 2 2 2 3" xfId="13714" xr:uid="{00000000-0005-0000-0000-00000B0A0000}"/>
    <cellStyle name="Calculation 2 4 2 2 2 3 2" xfId="28546" xr:uid="{00000000-0005-0000-0000-00000C0A0000}"/>
    <cellStyle name="Calculation 2 4 2 2 2 4" xfId="21117" xr:uid="{00000000-0005-0000-0000-00000D0A0000}"/>
    <cellStyle name="Calculation 2 4 2 2 3" xfId="4789" xr:uid="{00000000-0005-0000-0000-00000E0A0000}"/>
    <cellStyle name="Calculation 2 4 2 2 3 2" xfId="8828" xr:uid="{00000000-0005-0000-0000-00000F0A0000}"/>
    <cellStyle name="Calculation 2 4 2 2 3 2 2" xfId="24326" xr:uid="{00000000-0005-0000-0000-0000100A0000}"/>
    <cellStyle name="Calculation 2 4 2 2 3 3" xfId="15113" xr:uid="{00000000-0005-0000-0000-0000110A0000}"/>
    <cellStyle name="Calculation 2 4 2 2 3 3 2" xfId="29945" xr:uid="{00000000-0005-0000-0000-0000120A0000}"/>
    <cellStyle name="Calculation 2 4 2 2 3 4" xfId="21864" xr:uid="{00000000-0005-0000-0000-0000130A0000}"/>
    <cellStyle name="Calculation 2 4 2 2 4" xfId="2779" xr:uid="{00000000-0005-0000-0000-0000140A0000}"/>
    <cellStyle name="Calculation 2 4 2 2 4 2" xfId="6870" xr:uid="{00000000-0005-0000-0000-0000150A0000}"/>
    <cellStyle name="Calculation 2 4 2 2 4 2 2" xfId="23077" xr:uid="{00000000-0005-0000-0000-0000160A0000}"/>
    <cellStyle name="Calculation 2 4 2 2 4 3" xfId="13117" xr:uid="{00000000-0005-0000-0000-0000170A0000}"/>
    <cellStyle name="Calculation 2 4 2 2 4 3 2" xfId="27949" xr:uid="{00000000-0005-0000-0000-0000180A0000}"/>
    <cellStyle name="Calculation 2 4 2 2 4 4" xfId="20737" xr:uid="{00000000-0005-0000-0000-0000190A0000}"/>
    <cellStyle name="Calculation 2 4 2 2 5" xfId="5943" xr:uid="{00000000-0005-0000-0000-00001A0A0000}"/>
    <cellStyle name="Calculation 2 4 2 2 5 2" xfId="16135" xr:uid="{00000000-0005-0000-0000-00001B0A0000}"/>
    <cellStyle name="Calculation 2 4 2 2 5 2 2" xfId="30967" xr:uid="{00000000-0005-0000-0000-00001C0A0000}"/>
    <cellStyle name="Calculation 2 4 2 2 5 3" xfId="22508" xr:uid="{00000000-0005-0000-0000-00001D0A0000}"/>
    <cellStyle name="Calculation 2 4 2 2 6" xfId="12205" xr:uid="{00000000-0005-0000-0000-00001E0A0000}"/>
    <cellStyle name="Calculation 2 4 2 2 6 2" xfId="27037" xr:uid="{00000000-0005-0000-0000-00001F0A0000}"/>
    <cellStyle name="Calculation 2 4 2 2 7" xfId="9801" xr:uid="{00000000-0005-0000-0000-0000200A0000}"/>
    <cellStyle name="Calculation 2 4 2 2 7 2" xfId="20052" xr:uid="{00000000-0005-0000-0000-0000210A0000}"/>
    <cellStyle name="Calculation 2 4 2 3" xfId="3130" xr:uid="{00000000-0005-0000-0000-0000220A0000}"/>
    <cellStyle name="Calculation 2 4 2 3 2" xfId="7194" xr:uid="{00000000-0005-0000-0000-0000230A0000}"/>
    <cellStyle name="Calculation 2 4 2 3 2 2" xfId="23266" xr:uid="{00000000-0005-0000-0000-0000240A0000}"/>
    <cellStyle name="Calculation 2 4 2 3 3" xfId="13468" xr:uid="{00000000-0005-0000-0000-0000250A0000}"/>
    <cellStyle name="Calculation 2 4 2 3 3 2" xfId="28300" xr:uid="{00000000-0005-0000-0000-0000260A0000}"/>
    <cellStyle name="Calculation 2 4 2 3 4" xfId="20957" xr:uid="{00000000-0005-0000-0000-0000270A0000}"/>
    <cellStyle name="Calculation 2 4 2 4" xfId="4369" xr:uid="{00000000-0005-0000-0000-0000280A0000}"/>
    <cellStyle name="Calculation 2 4 2 4 2" xfId="8408" xr:uid="{00000000-0005-0000-0000-0000290A0000}"/>
    <cellStyle name="Calculation 2 4 2 4 2 2" xfId="24066" xr:uid="{00000000-0005-0000-0000-00002A0A0000}"/>
    <cellStyle name="Calculation 2 4 2 4 3" xfId="14698" xr:uid="{00000000-0005-0000-0000-00002B0A0000}"/>
    <cellStyle name="Calculation 2 4 2 4 3 2" xfId="29530" xr:uid="{00000000-0005-0000-0000-00002C0A0000}"/>
    <cellStyle name="Calculation 2 4 2 4 4" xfId="21634" xr:uid="{00000000-0005-0000-0000-00002D0A0000}"/>
    <cellStyle name="Calculation 2 4 2 5" xfId="2359" xr:uid="{00000000-0005-0000-0000-00002E0A0000}"/>
    <cellStyle name="Calculation 2 4 2 5 2" xfId="6471" xr:uid="{00000000-0005-0000-0000-00002F0A0000}"/>
    <cellStyle name="Calculation 2 4 2 5 2 2" xfId="22841" xr:uid="{00000000-0005-0000-0000-0000300A0000}"/>
    <cellStyle name="Calculation 2 4 2 5 3" xfId="12698" xr:uid="{00000000-0005-0000-0000-0000310A0000}"/>
    <cellStyle name="Calculation 2 4 2 5 3 2" xfId="27530" xr:uid="{00000000-0005-0000-0000-0000320A0000}"/>
    <cellStyle name="Calculation 2 4 2 5 4" xfId="20483" xr:uid="{00000000-0005-0000-0000-0000330A0000}"/>
    <cellStyle name="Calculation 2 4 2 6" xfId="5484" xr:uid="{00000000-0005-0000-0000-0000340A0000}"/>
    <cellStyle name="Calculation 2 4 2 6 2" xfId="15719" xr:uid="{00000000-0005-0000-0000-0000350A0000}"/>
    <cellStyle name="Calculation 2 4 2 6 2 2" xfId="30551" xr:uid="{00000000-0005-0000-0000-0000360A0000}"/>
    <cellStyle name="Calculation 2 4 2 6 3" xfId="22212" xr:uid="{00000000-0005-0000-0000-0000370A0000}"/>
    <cellStyle name="Calculation 2 4 2 7" xfId="11734" xr:uid="{00000000-0005-0000-0000-0000380A0000}"/>
    <cellStyle name="Calculation 2 4 2 7 2" xfId="26566" xr:uid="{00000000-0005-0000-0000-0000390A0000}"/>
    <cellStyle name="Calculation 2 4 2 8" xfId="9405" xr:uid="{00000000-0005-0000-0000-00003A0A0000}"/>
    <cellStyle name="Calculation 2 4 2 8 2" xfId="19709" xr:uid="{00000000-0005-0000-0000-00003B0A0000}"/>
    <cellStyle name="Calculation 2 4 3" xfId="1441" xr:uid="{00000000-0005-0000-0000-00003C0A0000}"/>
    <cellStyle name="Calculation 2 4 3 2" xfId="1942" xr:uid="{00000000-0005-0000-0000-00003D0A0000}"/>
    <cellStyle name="Calculation 2 4 3 2 2" xfId="3804" xr:uid="{00000000-0005-0000-0000-00003E0A0000}"/>
    <cellStyle name="Calculation 2 4 3 2 2 2" xfId="7859" xr:uid="{00000000-0005-0000-0000-00003F0A0000}"/>
    <cellStyle name="Calculation 2 4 3 2 2 2 2" xfId="23711" xr:uid="{00000000-0005-0000-0000-0000400A0000}"/>
    <cellStyle name="Calculation 2 4 3 2 2 3" xfId="14139" xr:uid="{00000000-0005-0000-0000-0000410A0000}"/>
    <cellStyle name="Calculation 2 4 3 2 2 3 2" xfId="28971" xr:uid="{00000000-0005-0000-0000-0000420A0000}"/>
    <cellStyle name="Calculation 2 4 3 2 2 4" xfId="21362" xr:uid="{00000000-0005-0000-0000-0000430A0000}"/>
    <cellStyle name="Calculation 2 4 3 2 3" xfId="4921" xr:uid="{00000000-0005-0000-0000-0000440A0000}"/>
    <cellStyle name="Calculation 2 4 3 2 3 2" xfId="8960" xr:uid="{00000000-0005-0000-0000-0000450A0000}"/>
    <cellStyle name="Calculation 2 4 3 2 3 2 2" xfId="24426" xr:uid="{00000000-0005-0000-0000-0000460A0000}"/>
    <cellStyle name="Calculation 2 4 3 2 3 3" xfId="15243" xr:uid="{00000000-0005-0000-0000-0000470A0000}"/>
    <cellStyle name="Calculation 2 4 3 2 3 3 2" xfId="30075" xr:uid="{00000000-0005-0000-0000-0000480A0000}"/>
    <cellStyle name="Calculation 2 4 3 2 3 4" xfId="21956" xr:uid="{00000000-0005-0000-0000-0000490A0000}"/>
    <cellStyle name="Calculation 2 4 3 2 4" xfId="2911" xr:uid="{00000000-0005-0000-0000-00004A0A0000}"/>
    <cellStyle name="Calculation 2 4 3 2 4 2" xfId="6995" xr:uid="{00000000-0005-0000-0000-00004B0A0000}"/>
    <cellStyle name="Calculation 2 4 3 2 4 2 2" xfId="23169" xr:uid="{00000000-0005-0000-0000-00004C0A0000}"/>
    <cellStyle name="Calculation 2 4 3 2 4 3" xfId="13249" xr:uid="{00000000-0005-0000-0000-00004D0A0000}"/>
    <cellStyle name="Calculation 2 4 3 2 4 3 2" xfId="28081" xr:uid="{00000000-0005-0000-0000-00004E0A0000}"/>
    <cellStyle name="Calculation 2 4 3 2 4 4" xfId="20837" xr:uid="{00000000-0005-0000-0000-00004F0A0000}"/>
    <cellStyle name="Calculation 2 4 3 2 5" xfId="6072" xr:uid="{00000000-0005-0000-0000-0000500A0000}"/>
    <cellStyle name="Calculation 2 4 3 2 5 2" xfId="16259" xr:uid="{00000000-0005-0000-0000-0000510A0000}"/>
    <cellStyle name="Calculation 2 4 3 2 5 2 2" xfId="31091" xr:uid="{00000000-0005-0000-0000-0000520A0000}"/>
    <cellStyle name="Calculation 2 4 3 2 5 3" xfId="22605" xr:uid="{00000000-0005-0000-0000-0000530A0000}"/>
    <cellStyle name="Calculation 2 4 3 2 6" xfId="12329" xr:uid="{00000000-0005-0000-0000-0000540A0000}"/>
    <cellStyle name="Calculation 2 4 3 2 6 2" xfId="27161" xr:uid="{00000000-0005-0000-0000-0000550A0000}"/>
    <cellStyle name="Calculation 2 4 3 2 7" xfId="9926" xr:uid="{00000000-0005-0000-0000-0000560A0000}"/>
    <cellStyle name="Calculation 2 4 3 2 7 2" xfId="20128" xr:uid="{00000000-0005-0000-0000-0000570A0000}"/>
    <cellStyle name="Calculation 2 4 3 3" xfId="3820" xr:uid="{00000000-0005-0000-0000-0000580A0000}"/>
    <cellStyle name="Calculation 2 4 3 3 2" xfId="7873" xr:uid="{00000000-0005-0000-0000-0000590A0000}"/>
    <cellStyle name="Calculation 2 4 3 3 2 2" xfId="23720" xr:uid="{00000000-0005-0000-0000-00005A0A0000}"/>
    <cellStyle name="Calculation 2 4 3 3 3" xfId="14155" xr:uid="{00000000-0005-0000-0000-00005B0A0000}"/>
    <cellStyle name="Calculation 2 4 3 3 3 2" xfId="28987" xr:uid="{00000000-0005-0000-0000-00005C0A0000}"/>
    <cellStyle name="Calculation 2 4 3 3 4" xfId="21368" xr:uid="{00000000-0005-0000-0000-00005D0A0000}"/>
    <cellStyle name="Calculation 2 4 3 4" xfId="4501" xr:uid="{00000000-0005-0000-0000-00005E0A0000}"/>
    <cellStyle name="Calculation 2 4 3 4 2" xfId="8540" xr:uid="{00000000-0005-0000-0000-00005F0A0000}"/>
    <cellStyle name="Calculation 2 4 3 4 2 2" xfId="24166" xr:uid="{00000000-0005-0000-0000-0000600A0000}"/>
    <cellStyle name="Calculation 2 4 3 4 3" xfId="14828" xr:uid="{00000000-0005-0000-0000-0000610A0000}"/>
    <cellStyle name="Calculation 2 4 3 4 3 2" xfId="29660" xr:uid="{00000000-0005-0000-0000-0000620A0000}"/>
    <cellStyle name="Calculation 2 4 3 4 4" xfId="21726" xr:uid="{00000000-0005-0000-0000-0000630A0000}"/>
    <cellStyle name="Calculation 2 4 3 5" xfId="2491" xr:uid="{00000000-0005-0000-0000-0000640A0000}"/>
    <cellStyle name="Calculation 2 4 3 5 2" xfId="6597" xr:uid="{00000000-0005-0000-0000-0000650A0000}"/>
    <cellStyle name="Calculation 2 4 3 5 2 2" xfId="22935" xr:uid="{00000000-0005-0000-0000-0000660A0000}"/>
    <cellStyle name="Calculation 2 4 3 5 3" xfId="12829" xr:uid="{00000000-0005-0000-0000-0000670A0000}"/>
    <cellStyle name="Calculation 2 4 3 5 3 2" xfId="27661" xr:uid="{00000000-0005-0000-0000-0000680A0000}"/>
    <cellStyle name="Calculation 2 4 3 5 4" xfId="20581" xr:uid="{00000000-0005-0000-0000-0000690A0000}"/>
    <cellStyle name="Calculation 2 4 3 6" xfId="5614" xr:uid="{00000000-0005-0000-0000-00006A0A0000}"/>
    <cellStyle name="Calculation 2 4 3 6 2" xfId="15849" xr:uid="{00000000-0005-0000-0000-00006B0A0000}"/>
    <cellStyle name="Calculation 2 4 3 6 2 2" xfId="30681" xr:uid="{00000000-0005-0000-0000-00006C0A0000}"/>
    <cellStyle name="Calculation 2 4 3 6 3" xfId="22310" xr:uid="{00000000-0005-0000-0000-00006D0A0000}"/>
    <cellStyle name="Calculation 2 4 3 7" xfId="11858" xr:uid="{00000000-0005-0000-0000-00006E0A0000}"/>
    <cellStyle name="Calculation 2 4 3 7 2" xfId="26690" xr:uid="{00000000-0005-0000-0000-00006F0A0000}"/>
    <cellStyle name="Calculation 2 4 3 8" xfId="9531" xr:uid="{00000000-0005-0000-0000-0000700A0000}"/>
    <cellStyle name="Calculation 2 4 3 8 2" xfId="19833" xr:uid="{00000000-0005-0000-0000-0000710A0000}"/>
    <cellStyle name="Calculation 2 4 4" xfId="1413" xr:uid="{00000000-0005-0000-0000-0000720A0000}"/>
    <cellStyle name="Calculation 2 4 4 2" xfId="1915" xr:uid="{00000000-0005-0000-0000-0000730A0000}"/>
    <cellStyle name="Calculation 2 4 4 2 2" xfId="3827" xr:uid="{00000000-0005-0000-0000-0000740A0000}"/>
    <cellStyle name="Calculation 2 4 4 2 2 2" xfId="7880" xr:uid="{00000000-0005-0000-0000-0000750A0000}"/>
    <cellStyle name="Calculation 2 4 4 2 2 2 2" xfId="23723" xr:uid="{00000000-0005-0000-0000-0000760A0000}"/>
    <cellStyle name="Calculation 2 4 4 2 2 3" xfId="14162" xr:uid="{00000000-0005-0000-0000-0000770A0000}"/>
    <cellStyle name="Calculation 2 4 4 2 2 3 2" xfId="28994" xr:uid="{00000000-0005-0000-0000-0000780A0000}"/>
    <cellStyle name="Calculation 2 4 4 2 2 4" xfId="21371" xr:uid="{00000000-0005-0000-0000-0000790A0000}"/>
    <cellStyle name="Calculation 2 4 4 2 3" xfId="4893" xr:uid="{00000000-0005-0000-0000-00007A0A0000}"/>
    <cellStyle name="Calculation 2 4 4 2 3 2" xfId="8932" xr:uid="{00000000-0005-0000-0000-00007B0A0000}"/>
    <cellStyle name="Calculation 2 4 4 2 3 2 2" xfId="24398" xr:uid="{00000000-0005-0000-0000-00007C0A0000}"/>
    <cellStyle name="Calculation 2 4 4 2 3 3" xfId="15216" xr:uid="{00000000-0005-0000-0000-00007D0A0000}"/>
    <cellStyle name="Calculation 2 4 4 2 3 3 2" xfId="30048" xr:uid="{00000000-0005-0000-0000-00007E0A0000}"/>
    <cellStyle name="Calculation 2 4 4 2 3 4" xfId="21930" xr:uid="{00000000-0005-0000-0000-00007F0A0000}"/>
    <cellStyle name="Calculation 2 4 4 2 4" xfId="2883" xr:uid="{00000000-0005-0000-0000-0000800A0000}"/>
    <cellStyle name="Calculation 2 4 4 2 4 2" xfId="6968" xr:uid="{00000000-0005-0000-0000-0000810A0000}"/>
    <cellStyle name="Calculation 2 4 4 2 4 2 2" xfId="23143" xr:uid="{00000000-0005-0000-0000-0000820A0000}"/>
    <cellStyle name="Calculation 2 4 4 2 4 3" xfId="13221" xr:uid="{00000000-0005-0000-0000-0000830A0000}"/>
    <cellStyle name="Calculation 2 4 4 2 4 3 2" xfId="28053" xr:uid="{00000000-0005-0000-0000-0000840A0000}"/>
    <cellStyle name="Calculation 2 4 4 2 4 4" xfId="20809" xr:uid="{00000000-0005-0000-0000-0000850A0000}"/>
    <cellStyle name="Calculation 2 4 4 2 5" xfId="6046" xr:uid="{00000000-0005-0000-0000-0000860A0000}"/>
    <cellStyle name="Calculation 2 4 4 2 5 2" xfId="16233" xr:uid="{00000000-0005-0000-0000-0000870A0000}"/>
    <cellStyle name="Calculation 2 4 4 2 5 2 2" xfId="31065" xr:uid="{00000000-0005-0000-0000-0000880A0000}"/>
    <cellStyle name="Calculation 2 4 4 2 5 3" xfId="22579" xr:uid="{00000000-0005-0000-0000-0000890A0000}"/>
    <cellStyle name="Calculation 2 4 4 2 6" xfId="12303" xr:uid="{00000000-0005-0000-0000-00008A0A0000}"/>
    <cellStyle name="Calculation 2 4 4 2 6 2" xfId="27135" xr:uid="{00000000-0005-0000-0000-00008B0A0000}"/>
    <cellStyle name="Calculation 2 4 4 2 7" xfId="9899" xr:uid="{00000000-0005-0000-0000-00008C0A0000}"/>
    <cellStyle name="Calculation 2 4 4 2 7 2" xfId="20102" xr:uid="{00000000-0005-0000-0000-00008D0A0000}"/>
    <cellStyle name="Calculation 2 4 4 3" xfId="3716" xr:uid="{00000000-0005-0000-0000-00008E0A0000}"/>
    <cellStyle name="Calculation 2 4 4 3 2" xfId="7772" xr:uid="{00000000-0005-0000-0000-00008F0A0000}"/>
    <cellStyle name="Calculation 2 4 4 3 2 2" xfId="23653" xr:uid="{00000000-0005-0000-0000-0000900A0000}"/>
    <cellStyle name="Calculation 2 4 4 3 3" xfId="14051" xr:uid="{00000000-0005-0000-0000-0000910A0000}"/>
    <cellStyle name="Calculation 2 4 4 3 3 2" xfId="28883" xr:uid="{00000000-0005-0000-0000-0000920A0000}"/>
    <cellStyle name="Calculation 2 4 4 3 4" xfId="21313" xr:uid="{00000000-0005-0000-0000-0000930A0000}"/>
    <cellStyle name="Calculation 2 4 4 4" xfId="4473" xr:uid="{00000000-0005-0000-0000-0000940A0000}"/>
    <cellStyle name="Calculation 2 4 4 4 2" xfId="8512" xr:uid="{00000000-0005-0000-0000-0000950A0000}"/>
    <cellStyle name="Calculation 2 4 4 4 2 2" xfId="24138" xr:uid="{00000000-0005-0000-0000-0000960A0000}"/>
    <cellStyle name="Calculation 2 4 4 4 3" xfId="14801" xr:uid="{00000000-0005-0000-0000-0000970A0000}"/>
    <cellStyle name="Calculation 2 4 4 4 3 2" xfId="29633" xr:uid="{00000000-0005-0000-0000-0000980A0000}"/>
    <cellStyle name="Calculation 2 4 4 4 4" xfId="21700" xr:uid="{00000000-0005-0000-0000-0000990A0000}"/>
    <cellStyle name="Calculation 2 4 4 5" xfId="2463" xr:uid="{00000000-0005-0000-0000-00009A0A0000}"/>
    <cellStyle name="Calculation 2 4 4 5 2" xfId="6569" xr:uid="{00000000-0005-0000-0000-00009B0A0000}"/>
    <cellStyle name="Calculation 2 4 4 5 2 2" xfId="22907" xr:uid="{00000000-0005-0000-0000-00009C0A0000}"/>
    <cellStyle name="Calculation 2 4 4 5 3" xfId="12802" xr:uid="{00000000-0005-0000-0000-00009D0A0000}"/>
    <cellStyle name="Calculation 2 4 4 5 3 2" xfId="27634" xr:uid="{00000000-0005-0000-0000-00009E0A0000}"/>
    <cellStyle name="Calculation 2 4 4 5 4" xfId="20555" xr:uid="{00000000-0005-0000-0000-00009F0A0000}"/>
    <cellStyle name="Calculation 2 4 4 6" xfId="5587" xr:uid="{00000000-0005-0000-0000-0000A00A0000}"/>
    <cellStyle name="Calculation 2 4 4 6 2" xfId="15822" xr:uid="{00000000-0005-0000-0000-0000A10A0000}"/>
    <cellStyle name="Calculation 2 4 4 6 2 2" xfId="30654" xr:uid="{00000000-0005-0000-0000-0000A20A0000}"/>
    <cellStyle name="Calculation 2 4 4 6 3" xfId="22283" xr:uid="{00000000-0005-0000-0000-0000A30A0000}"/>
    <cellStyle name="Calculation 2 4 4 7" xfId="11832" xr:uid="{00000000-0005-0000-0000-0000A40A0000}"/>
    <cellStyle name="Calculation 2 4 4 7 2" xfId="26664" xr:uid="{00000000-0005-0000-0000-0000A50A0000}"/>
    <cellStyle name="Calculation 2 4 4 8" xfId="9504" xr:uid="{00000000-0005-0000-0000-0000A60A0000}"/>
    <cellStyle name="Calculation 2 4 4 8 2" xfId="19807" xr:uid="{00000000-0005-0000-0000-0000A70A0000}"/>
    <cellStyle name="Calculation 2 4 5" xfId="1427" xr:uid="{00000000-0005-0000-0000-0000A80A0000}"/>
    <cellStyle name="Calculation 2 4 5 2" xfId="1928" xr:uid="{00000000-0005-0000-0000-0000A90A0000}"/>
    <cellStyle name="Calculation 2 4 5 2 2" xfId="3885" xr:uid="{00000000-0005-0000-0000-0000AA0A0000}"/>
    <cellStyle name="Calculation 2 4 5 2 2 2" xfId="7936" xr:uid="{00000000-0005-0000-0000-0000AB0A0000}"/>
    <cellStyle name="Calculation 2 4 5 2 2 2 2" xfId="23760" xr:uid="{00000000-0005-0000-0000-0000AC0A0000}"/>
    <cellStyle name="Calculation 2 4 5 2 2 3" xfId="14219" xr:uid="{00000000-0005-0000-0000-0000AD0A0000}"/>
    <cellStyle name="Calculation 2 4 5 2 2 3 2" xfId="29051" xr:uid="{00000000-0005-0000-0000-0000AE0A0000}"/>
    <cellStyle name="Calculation 2 4 5 2 2 4" xfId="21402" xr:uid="{00000000-0005-0000-0000-0000AF0A0000}"/>
    <cellStyle name="Calculation 2 4 5 2 3" xfId="4907" xr:uid="{00000000-0005-0000-0000-0000B00A0000}"/>
    <cellStyle name="Calculation 2 4 5 2 3 2" xfId="8946" xr:uid="{00000000-0005-0000-0000-0000B10A0000}"/>
    <cellStyle name="Calculation 2 4 5 2 3 2 2" xfId="24412" xr:uid="{00000000-0005-0000-0000-0000B20A0000}"/>
    <cellStyle name="Calculation 2 4 5 2 3 3" xfId="15229" xr:uid="{00000000-0005-0000-0000-0000B30A0000}"/>
    <cellStyle name="Calculation 2 4 5 2 3 3 2" xfId="30061" xr:uid="{00000000-0005-0000-0000-0000B40A0000}"/>
    <cellStyle name="Calculation 2 4 5 2 3 4" xfId="21942" xr:uid="{00000000-0005-0000-0000-0000B50A0000}"/>
    <cellStyle name="Calculation 2 4 5 2 4" xfId="2897" xr:uid="{00000000-0005-0000-0000-0000B60A0000}"/>
    <cellStyle name="Calculation 2 4 5 2 4 2" xfId="6981" xr:uid="{00000000-0005-0000-0000-0000B70A0000}"/>
    <cellStyle name="Calculation 2 4 5 2 4 2 2" xfId="23155" xr:uid="{00000000-0005-0000-0000-0000B80A0000}"/>
    <cellStyle name="Calculation 2 4 5 2 4 3" xfId="13235" xr:uid="{00000000-0005-0000-0000-0000B90A0000}"/>
    <cellStyle name="Calculation 2 4 5 2 4 3 2" xfId="28067" xr:uid="{00000000-0005-0000-0000-0000BA0A0000}"/>
    <cellStyle name="Calculation 2 4 5 2 4 4" xfId="20823" xr:uid="{00000000-0005-0000-0000-0000BB0A0000}"/>
    <cellStyle name="Calculation 2 4 5 2 5" xfId="6058" xr:uid="{00000000-0005-0000-0000-0000BC0A0000}"/>
    <cellStyle name="Calculation 2 4 5 2 5 2" xfId="16245" xr:uid="{00000000-0005-0000-0000-0000BD0A0000}"/>
    <cellStyle name="Calculation 2 4 5 2 5 2 2" xfId="31077" xr:uid="{00000000-0005-0000-0000-0000BE0A0000}"/>
    <cellStyle name="Calculation 2 4 5 2 5 3" xfId="22591" xr:uid="{00000000-0005-0000-0000-0000BF0A0000}"/>
    <cellStyle name="Calculation 2 4 5 2 6" xfId="12315" xr:uid="{00000000-0005-0000-0000-0000C00A0000}"/>
    <cellStyle name="Calculation 2 4 5 2 6 2" xfId="27147" xr:uid="{00000000-0005-0000-0000-0000C10A0000}"/>
    <cellStyle name="Calculation 2 4 5 2 7" xfId="9912" xr:uid="{00000000-0005-0000-0000-0000C20A0000}"/>
    <cellStyle name="Calculation 2 4 5 2 7 2" xfId="20114" xr:uid="{00000000-0005-0000-0000-0000C30A0000}"/>
    <cellStyle name="Calculation 2 4 5 3" xfId="3647" xr:uid="{00000000-0005-0000-0000-0000C40A0000}"/>
    <cellStyle name="Calculation 2 4 5 3 2" xfId="7706" xr:uid="{00000000-0005-0000-0000-0000C50A0000}"/>
    <cellStyle name="Calculation 2 4 5 3 2 2" xfId="23606" xr:uid="{00000000-0005-0000-0000-0000C60A0000}"/>
    <cellStyle name="Calculation 2 4 5 3 3" xfId="13982" xr:uid="{00000000-0005-0000-0000-0000C70A0000}"/>
    <cellStyle name="Calculation 2 4 5 3 3 2" xfId="28814" xr:uid="{00000000-0005-0000-0000-0000C80A0000}"/>
    <cellStyle name="Calculation 2 4 5 3 4" xfId="21271" xr:uid="{00000000-0005-0000-0000-0000C90A0000}"/>
    <cellStyle name="Calculation 2 4 5 4" xfId="4487" xr:uid="{00000000-0005-0000-0000-0000CA0A0000}"/>
    <cellStyle name="Calculation 2 4 5 4 2" xfId="8526" xr:uid="{00000000-0005-0000-0000-0000CB0A0000}"/>
    <cellStyle name="Calculation 2 4 5 4 2 2" xfId="24152" xr:uid="{00000000-0005-0000-0000-0000CC0A0000}"/>
    <cellStyle name="Calculation 2 4 5 4 3" xfId="14814" xr:uid="{00000000-0005-0000-0000-0000CD0A0000}"/>
    <cellStyle name="Calculation 2 4 5 4 3 2" xfId="29646" xr:uid="{00000000-0005-0000-0000-0000CE0A0000}"/>
    <cellStyle name="Calculation 2 4 5 4 4" xfId="21712" xr:uid="{00000000-0005-0000-0000-0000CF0A0000}"/>
    <cellStyle name="Calculation 2 4 5 5" xfId="2477" xr:uid="{00000000-0005-0000-0000-0000D00A0000}"/>
    <cellStyle name="Calculation 2 4 5 5 2" xfId="6583" xr:uid="{00000000-0005-0000-0000-0000D10A0000}"/>
    <cellStyle name="Calculation 2 4 5 5 2 2" xfId="22921" xr:uid="{00000000-0005-0000-0000-0000D20A0000}"/>
    <cellStyle name="Calculation 2 4 5 5 3" xfId="12815" xr:uid="{00000000-0005-0000-0000-0000D30A0000}"/>
    <cellStyle name="Calculation 2 4 5 5 3 2" xfId="27647" xr:uid="{00000000-0005-0000-0000-0000D40A0000}"/>
    <cellStyle name="Calculation 2 4 5 5 4" xfId="20567" xr:uid="{00000000-0005-0000-0000-0000D50A0000}"/>
    <cellStyle name="Calculation 2 4 5 6" xfId="5600" xr:uid="{00000000-0005-0000-0000-0000D60A0000}"/>
    <cellStyle name="Calculation 2 4 5 6 2" xfId="15835" xr:uid="{00000000-0005-0000-0000-0000D70A0000}"/>
    <cellStyle name="Calculation 2 4 5 6 2 2" xfId="30667" xr:uid="{00000000-0005-0000-0000-0000D80A0000}"/>
    <cellStyle name="Calculation 2 4 5 6 3" xfId="22296" xr:uid="{00000000-0005-0000-0000-0000D90A0000}"/>
    <cellStyle name="Calculation 2 4 5 7" xfId="11844" xr:uid="{00000000-0005-0000-0000-0000DA0A0000}"/>
    <cellStyle name="Calculation 2 4 5 7 2" xfId="26676" xr:uid="{00000000-0005-0000-0000-0000DB0A0000}"/>
    <cellStyle name="Calculation 2 4 5 8" xfId="9517" xr:uid="{00000000-0005-0000-0000-0000DC0A0000}"/>
    <cellStyle name="Calculation 2 4 5 8 2" xfId="19819" xr:uid="{00000000-0005-0000-0000-0000DD0A0000}"/>
    <cellStyle name="Calculation 2 4 6" xfId="1718" xr:uid="{00000000-0005-0000-0000-0000DE0A0000}"/>
    <cellStyle name="Calculation 2 4 6 2" xfId="3842" xr:uid="{00000000-0005-0000-0000-0000DF0A0000}"/>
    <cellStyle name="Calculation 2 4 6 2 2" xfId="7895" xr:uid="{00000000-0005-0000-0000-0000E00A0000}"/>
    <cellStyle name="Calculation 2 4 6 2 2 2" xfId="23732" xr:uid="{00000000-0005-0000-0000-0000E10A0000}"/>
    <cellStyle name="Calculation 2 4 6 2 3" xfId="14177" xr:uid="{00000000-0005-0000-0000-0000E20A0000}"/>
    <cellStyle name="Calculation 2 4 6 2 3 2" xfId="29009" xr:uid="{00000000-0005-0000-0000-0000E30A0000}"/>
    <cellStyle name="Calculation 2 4 6 2 4" xfId="21379" xr:uid="{00000000-0005-0000-0000-0000E40A0000}"/>
    <cellStyle name="Calculation 2 4 6 3" xfId="4711" xr:uid="{00000000-0005-0000-0000-0000E50A0000}"/>
    <cellStyle name="Calculation 2 4 6 3 2" xfId="8750" xr:uid="{00000000-0005-0000-0000-0000E60A0000}"/>
    <cellStyle name="Calculation 2 4 6 3 2 2" xfId="24280" xr:uid="{00000000-0005-0000-0000-0000E70A0000}"/>
    <cellStyle name="Calculation 2 4 6 3 3" xfId="15035" xr:uid="{00000000-0005-0000-0000-0000E80A0000}"/>
    <cellStyle name="Calculation 2 4 6 3 3 2" xfId="29867" xr:uid="{00000000-0005-0000-0000-0000E90A0000}"/>
    <cellStyle name="Calculation 2 4 6 3 4" xfId="21818" xr:uid="{00000000-0005-0000-0000-0000EA0A0000}"/>
    <cellStyle name="Calculation 2 4 6 4" xfId="2701" xr:uid="{00000000-0005-0000-0000-0000EB0A0000}"/>
    <cellStyle name="Calculation 2 4 6 4 2" xfId="6792" xr:uid="{00000000-0005-0000-0000-0000EC0A0000}"/>
    <cellStyle name="Calculation 2 4 6 4 2 2" xfId="23031" xr:uid="{00000000-0005-0000-0000-0000ED0A0000}"/>
    <cellStyle name="Calculation 2 4 6 4 3" xfId="13039" xr:uid="{00000000-0005-0000-0000-0000EE0A0000}"/>
    <cellStyle name="Calculation 2 4 6 4 3 2" xfId="27871" xr:uid="{00000000-0005-0000-0000-0000EF0A0000}"/>
    <cellStyle name="Calculation 2 4 6 4 4" xfId="20691" xr:uid="{00000000-0005-0000-0000-0000F00A0000}"/>
    <cellStyle name="Calculation 2 4 6 5" xfId="5850" xr:uid="{00000000-0005-0000-0000-0000F10A0000}"/>
    <cellStyle name="Calculation 2 4 6 5 2" xfId="16042" xr:uid="{00000000-0005-0000-0000-0000F20A0000}"/>
    <cellStyle name="Calculation 2 4 6 5 2 2" xfId="30874" xr:uid="{00000000-0005-0000-0000-0000F30A0000}"/>
    <cellStyle name="Calculation 2 4 6 5 3" xfId="22447" xr:uid="{00000000-0005-0000-0000-0000F40A0000}"/>
    <cellStyle name="Calculation 2 4 6 6" xfId="12112" xr:uid="{00000000-0005-0000-0000-0000F50A0000}"/>
    <cellStyle name="Calculation 2 4 6 6 2" xfId="26944" xr:uid="{00000000-0005-0000-0000-0000F60A0000}"/>
    <cellStyle name="Calculation 2 4 6 7" xfId="9723" xr:uid="{00000000-0005-0000-0000-0000F70A0000}"/>
    <cellStyle name="Calculation 2 4 6 7 2" xfId="20021" xr:uid="{00000000-0005-0000-0000-0000F80A0000}"/>
    <cellStyle name="Calculation 2 4 7" xfId="2233" xr:uid="{00000000-0005-0000-0000-0000F90A0000}"/>
    <cellStyle name="Calculation 2 4 7 2" xfId="3131" xr:uid="{00000000-0005-0000-0000-0000FA0A0000}"/>
    <cellStyle name="Calculation 2 4 7 2 2" xfId="7195" xr:uid="{00000000-0005-0000-0000-0000FB0A0000}"/>
    <cellStyle name="Calculation 2 4 7 2 2 2" xfId="23267" xr:uid="{00000000-0005-0000-0000-0000FC0A0000}"/>
    <cellStyle name="Calculation 2 4 7 2 3" xfId="13469" xr:uid="{00000000-0005-0000-0000-0000FD0A0000}"/>
    <cellStyle name="Calculation 2 4 7 2 3 2" xfId="28301" xr:uid="{00000000-0005-0000-0000-0000FE0A0000}"/>
    <cellStyle name="Calculation 2 4 7 2 4" xfId="20958" xr:uid="{00000000-0005-0000-0000-0000FF0A0000}"/>
    <cellStyle name="Calculation 2 4 7 3" xfId="5201" xr:uid="{00000000-0005-0000-0000-0000000B0000}"/>
    <cellStyle name="Calculation 2 4 7 3 2" xfId="9240" xr:uid="{00000000-0005-0000-0000-0000010B0000}"/>
    <cellStyle name="Calculation 2 4 7 3 2 2" xfId="24578" xr:uid="{00000000-0005-0000-0000-0000020B0000}"/>
    <cellStyle name="Calculation 2 4 7 3 3" xfId="15519" xr:uid="{00000000-0005-0000-0000-0000030B0000}"/>
    <cellStyle name="Calculation 2 4 7 3 3 2" xfId="30351" xr:uid="{00000000-0005-0000-0000-0000040B0000}"/>
    <cellStyle name="Calculation 2 4 7 3 4" xfId="22085" xr:uid="{00000000-0005-0000-0000-0000050B0000}"/>
    <cellStyle name="Calculation 2 4 7 4" xfId="4231" xr:uid="{00000000-0005-0000-0000-0000060B0000}"/>
    <cellStyle name="Calculation 2 4 7 4 2" xfId="8272" xr:uid="{00000000-0005-0000-0000-0000070B0000}"/>
    <cellStyle name="Calculation 2 4 7 4 2 2" xfId="23967" xr:uid="{00000000-0005-0000-0000-0000080B0000}"/>
    <cellStyle name="Calculation 2 4 7 4 3" xfId="14563" xr:uid="{00000000-0005-0000-0000-0000090B0000}"/>
    <cellStyle name="Calculation 2 4 7 4 3 2" xfId="29395" xr:uid="{00000000-0005-0000-0000-00000A0B0000}"/>
    <cellStyle name="Calculation 2 4 7 4 4" xfId="21592" xr:uid="{00000000-0005-0000-0000-00000B0B0000}"/>
    <cellStyle name="Calculation 2 4 7 5" xfId="6347" xr:uid="{00000000-0005-0000-0000-00000C0B0000}"/>
    <cellStyle name="Calculation 2 4 7 5 2" xfId="22749" xr:uid="{00000000-0005-0000-0000-00000D0B0000}"/>
    <cellStyle name="Calculation 2 4 7 6" xfId="12601" xr:uid="{00000000-0005-0000-0000-00000E0B0000}"/>
    <cellStyle name="Calculation 2 4 7 6 2" xfId="27433" xr:uid="{00000000-0005-0000-0000-00000F0B0000}"/>
    <cellStyle name="Calculation 2 4 7 7" xfId="20428" xr:uid="{00000000-0005-0000-0000-0000100B0000}"/>
    <cellStyle name="Calculation 2 4 8" xfId="4049" xr:uid="{00000000-0005-0000-0000-0000110B0000}"/>
    <cellStyle name="Calculation 2 4 8 2" xfId="8096" xr:uid="{00000000-0005-0000-0000-0000120B0000}"/>
    <cellStyle name="Calculation 2 4 8 2 2" xfId="23859" xr:uid="{00000000-0005-0000-0000-0000130B0000}"/>
    <cellStyle name="Calculation 2 4 8 3" xfId="14381" xr:uid="{00000000-0005-0000-0000-0000140B0000}"/>
    <cellStyle name="Calculation 2 4 8 3 2" xfId="29213" xr:uid="{00000000-0005-0000-0000-0000150B0000}"/>
    <cellStyle name="Calculation 2 4 8 4" xfId="21493" xr:uid="{00000000-0005-0000-0000-0000160B0000}"/>
    <cellStyle name="Calculation 2 4 9" xfId="3133" xr:uid="{00000000-0005-0000-0000-0000170B0000}"/>
    <cellStyle name="Calculation 2 4 9 2" xfId="7197" xr:uid="{00000000-0005-0000-0000-0000180B0000}"/>
    <cellStyle name="Calculation 2 4 9 2 2" xfId="23269" xr:uid="{00000000-0005-0000-0000-0000190B0000}"/>
    <cellStyle name="Calculation 2 4 9 3" xfId="13471" xr:uid="{00000000-0005-0000-0000-00001A0B0000}"/>
    <cellStyle name="Calculation 2 4 9 3 2" xfId="28303" xr:uid="{00000000-0005-0000-0000-00001B0B0000}"/>
    <cellStyle name="Calculation 2 4 9 4" xfId="20960" xr:uid="{00000000-0005-0000-0000-00001C0B0000}"/>
    <cellStyle name="Calculation 2 5" xfId="966" xr:uid="{00000000-0005-0000-0000-00001D0B0000}"/>
    <cellStyle name="Calculation 2 5 10" xfId="2272" xr:uid="{00000000-0005-0000-0000-00001E0B0000}"/>
    <cellStyle name="Calculation 2 5 10 2" xfId="6384" xr:uid="{00000000-0005-0000-0000-00001F0B0000}"/>
    <cellStyle name="Calculation 2 5 10 2 2" xfId="22786" xr:uid="{00000000-0005-0000-0000-0000200B0000}"/>
    <cellStyle name="Calculation 2 5 10 3" xfId="12612" xr:uid="{00000000-0005-0000-0000-0000210B0000}"/>
    <cellStyle name="Calculation 2 5 10 3 2" xfId="27444" xr:uid="{00000000-0005-0000-0000-0000220B0000}"/>
    <cellStyle name="Calculation 2 5 10 4" xfId="20438" xr:uid="{00000000-0005-0000-0000-0000230B0000}"/>
    <cellStyle name="Calculation 2 5 11" xfId="5238" xr:uid="{00000000-0005-0000-0000-0000240B0000}"/>
    <cellStyle name="Calculation 2 5 11 2" xfId="15554" xr:uid="{00000000-0005-0000-0000-0000250B0000}"/>
    <cellStyle name="Calculation 2 5 11 2 2" xfId="30386" xr:uid="{00000000-0005-0000-0000-0000260B0000}"/>
    <cellStyle name="Calculation 2 5 11 3" xfId="22095" xr:uid="{00000000-0005-0000-0000-0000270B0000}"/>
    <cellStyle name="Calculation 2 5 12" xfId="5396" xr:uid="{00000000-0005-0000-0000-0000280B0000}"/>
    <cellStyle name="Calculation 2 5 12 2" xfId="15632" xr:uid="{00000000-0005-0000-0000-0000290B0000}"/>
    <cellStyle name="Calculation 2 5 12 2 2" xfId="30464" xr:uid="{00000000-0005-0000-0000-00002A0B0000}"/>
    <cellStyle name="Calculation 2 5 12 3" xfId="22157" xr:uid="{00000000-0005-0000-0000-00002B0B0000}"/>
    <cellStyle name="Calculation 2 5 13" xfId="9395" xr:uid="{00000000-0005-0000-0000-00002C0B0000}"/>
    <cellStyle name="Calculation 2 5 13 2" xfId="24701" xr:uid="{00000000-0005-0000-0000-00002D0B0000}"/>
    <cellStyle name="Calculation 2 5 14" xfId="7181" xr:uid="{00000000-0005-0000-0000-00002E0B0000}"/>
    <cellStyle name="Calculation 2 5 14 2" xfId="18935" xr:uid="{00000000-0005-0000-0000-00002F0B0000}"/>
    <cellStyle name="Calculation 2 5 2" xfId="1308" xr:uid="{00000000-0005-0000-0000-0000300B0000}"/>
    <cellStyle name="Calculation 2 5 2 2" xfId="1812" xr:uid="{00000000-0005-0000-0000-0000310B0000}"/>
    <cellStyle name="Calculation 2 5 2 2 2" xfId="4002" xr:uid="{00000000-0005-0000-0000-0000320B0000}"/>
    <cellStyle name="Calculation 2 5 2 2 2 2" xfId="8049" xr:uid="{00000000-0005-0000-0000-0000330B0000}"/>
    <cellStyle name="Calculation 2 5 2 2 2 2 2" xfId="23830" xr:uid="{00000000-0005-0000-0000-0000340B0000}"/>
    <cellStyle name="Calculation 2 5 2 2 2 3" xfId="14334" xr:uid="{00000000-0005-0000-0000-0000350B0000}"/>
    <cellStyle name="Calculation 2 5 2 2 2 3 2" xfId="29166" xr:uid="{00000000-0005-0000-0000-0000360B0000}"/>
    <cellStyle name="Calculation 2 5 2 2 2 4" xfId="21468" xr:uid="{00000000-0005-0000-0000-0000370B0000}"/>
    <cellStyle name="Calculation 2 5 2 2 3" xfId="4790" xr:uid="{00000000-0005-0000-0000-0000380B0000}"/>
    <cellStyle name="Calculation 2 5 2 2 3 2" xfId="8829" xr:uid="{00000000-0005-0000-0000-0000390B0000}"/>
    <cellStyle name="Calculation 2 5 2 2 3 2 2" xfId="24327" xr:uid="{00000000-0005-0000-0000-00003A0B0000}"/>
    <cellStyle name="Calculation 2 5 2 2 3 3" xfId="15114" xr:uid="{00000000-0005-0000-0000-00003B0B0000}"/>
    <cellStyle name="Calculation 2 5 2 2 3 3 2" xfId="29946" xr:uid="{00000000-0005-0000-0000-00003C0B0000}"/>
    <cellStyle name="Calculation 2 5 2 2 3 4" xfId="21865" xr:uid="{00000000-0005-0000-0000-00003D0B0000}"/>
    <cellStyle name="Calculation 2 5 2 2 4" xfId="2780" xr:uid="{00000000-0005-0000-0000-00003E0B0000}"/>
    <cellStyle name="Calculation 2 5 2 2 4 2" xfId="6871" xr:uid="{00000000-0005-0000-0000-00003F0B0000}"/>
    <cellStyle name="Calculation 2 5 2 2 4 2 2" xfId="23078" xr:uid="{00000000-0005-0000-0000-0000400B0000}"/>
    <cellStyle name="Calculation 2 5 2 2 4 3" xfId="13118" xr:uid="{00000000-0005-0000-0000-0000410B0000}"/>
    <cellStyle name="Calculation 2 5 2 2 4 3 2" xfId="27950" xr:uid="{00000000-0005-0000-0000-0000420B0000}"/>
    <cellStyle name="Calculation 2 5 2 2 4 4" xfId="20738" xr:uid="{00000000-0005-0000-0000-0000430B0000}"/>
    <cellStyle name="Calculation 2 5 2 2 5" xfId="5944" xr:uid="{00000000-0005-0000-0000-0000440B0000}"/>
    <cellStyle name="Calculation 2 5 2 2 5 2" xfId="16136" xr:uid="{00000000-0005-0000-0000-0000450B0000}"/>
    <cellStyle name="Calculation 2 5 2 2 5 2 2" xfId="30968" xr:uid="{00000000-0005-0000-0000-0000460B0000}"/>
    <cellStyle name="Calculation 2 5 2 2 5 3" xfId="22509" xr:uid="{00000000-0005-0000-0000-0000470B0000}"/>
    <cellStyle name="Calculation 2 5 2 2 6" xfId="12206" xr:uid="{00000000-0005-0000-0000-0000480B0000}"/>
    <cellStyle name="Calculation 2 5 2 2 6 2" xfId="27038" xr:uid="{00000000-0005-0000-0000-0000490B0000}"/>
    <cellStyle name="Calculation 2 5 2 2 7" xfId="9802" xr:uid="{00000000-0005-0000-0000-00004A0B0000}"/>
    <cellStyle name="Calculation 2 5 2 2 7 2" xfId="20053" xr:uid="{00000000-0005-0000-0000-00004B0B0000}"/>
    <cellStyle name="Calculation 2 5 2 3" xfId="3792" xr:uid="{00000000-0005-0000-0000-00004C0B0000}"/>
    <cellStyle name="Calculation 2 5 2 3 2" xfId="7847" xr:uid="{00000000-0005-0000-0000-00004D0B0000}"/>
    <cellStyle name="Calculation 2 5 2 3 2 2" xfId="23702" xr:uid="{00000000-0005-0000-0000-00004E0B0000}"/>
    <cellStyle name="Calculation 2 5 2 3 3" xfId="14127" xr:uid="{00000000-0005-0000-0000-00004F0B0000}"/>
    <cellStyle name="Calculation 2 5 2 3 3 2" xfId="28959" xr:uid="{00000000-0005-0000-0000-0000500B0000}"/>
    <cellStyle name="Calculation 2 5 2 3 4" xfId="21354" xr:uid="{00000000-0005-0000-0000-0000510B0000}"/>
    <cellStyle name="Calculation 2 5 2 4" xfId="4370" xr:uid="{00000000-0005-0000-0000-0000520B0000}"/>
    <cellStyle name="Calculation 2 5 2 4 2" xfId="8409" xr:uid="{00000000-0005-0000-0000-0000530B0000}"/>
    <cellStyle name="Calculation 2 5 2 4 2 2" xfId="24067" xr:uid="{00000000-0005-0000-0000-0000540B0000}"/>
    <cellStyle name="Calculation 2 5 2 4 3" xfId="14699" xr:uid="{00000000-0005-0000-0000-0000550B0000}"/>
    <cellStyle name="Calculation 2 5 2 4 3 2" xfId="29531" xr:uid="{00000000-0005-0000-0000-0000560B0000}"/>
    <cellStyle name="Calculation 2 5 2 4 4" xfId="21635" xr:uid="{00000000-0005-0000-0000-0000570B0000}"/>
    <cellStyle name="Calculation 2 5 2 5" xfId="2360" xr:uid="{00000000-0005-0000-0000-0000580B0000}"/>
    <cellStyle name="Calculation 2 5 2 5 2" xfId="6472" xr:uid="{00000000-0005-0000-0000-0000590B0000}"/>
    <cellStyle name="Calculation 2 5 2 5 2 2" xfId="22842" xr:uid="{00000000-0005-0000-0000-00005A0B0000}"/>
    <cellStyle name="Calculation 2 5 2 5 3" xfId="12699" xr:uid="{00000000-0005-0000-0000-00005B0B0000}"/>
    <cellStyle name="Calculation 2 5 2 5 3 2" xfId="27531" xr:uid="{00000000-0005-0000-0000-00005C0B0000}"/>
    <cellStyle name="Calculation 2 5 2 5 4" xfId="20484" xr:uid="{00000000-0005-0000-0000-00005D0B0000}"/>
    <cellStyle name="Calculation 2 5 2 6" xfId="5485" xr:uid="{00000000-0005-0000-0000-00005E0B0000}"/>
    <cellStyle name="Calculation 2 5 2 6 2" xfId="15720" xr:uid="{00000000-0005-0000-0000-00005F0B0000}"/>
    <cellStyle name="Calculation 2 5 2 6 2 2" xfId="30552" xr:uid="{00000000-0005-0000-0000-0000600B0000}"/>
    <cellStyle name="Calculation 2 5 2 6 3" xfId="22213" xr:uid="{00000000-0005-0000-0000-0000610B0000}"/>
    <cellStyle name="Calculation 2 5 2 7" xfId="11735" xr:uid="{00000000-0005-0000-0000-0000620B0000}"/>
    <cellStyle name="Calculation 2 5 2 7 2" xfId="26567" xr:uid="{00000000-0005-0000-0000-0000630B0000}"/>
    <cellStyle name="Calculation 2 5 2 8" xfId="9406" xr:uid="{00000000-0005-0000-0000-0000640B0000}"/>
    <cellStyle name="Calculation 2 5 2 8 2" xfId="19710" xr:uid="{00000000-0005-0000-0000-0000650B0000}"/>
    <cellStyle name="Calculation 2 5 3" xfId="1442" xr:uid="{00000000-0005-0000-0000-0000660B0000}"/>
    <cellStyle name="Calculation 2 5 3 2" xfId="1943" xr:uid="{00000000-0005-0000-0000-0000670B0000}"/>
    <cellStyle name="Calculation 2 5 3 2 2" xfId="3744" xr:uid="{00000000-0005-0000-0000-0000680B0000}"/>
    <cellStyle name="Calculation 2 5 3 2 2 2" xfId="7800" xr:uid="{00000000-0005-0000-0000-0000690B0000}"/>
    <cellStyle name="Calculation 2 5 3 2 2 2 2" xfId="23672" xr:uid="{00000000-0005-0000-0000-00006A0B0000}"/>
    <cellStyle name="Calculation 2 5 3 2 2 3" xfId="14079" xr:uid="{00000000-0005-0000-0000-00006B0B0000}"/>
    <cellStyle name="Calculation 2 5 3 2 2 3 2" xfId="28911" xr:uid="{00000000-0005-0000-0000-00006C0B0000}"/>
    <cellStyle name="Calculation 2 5 3 2 2 4" xfId="21328" xr:uid="{00000000-0005-0000-0000-00006D0B0000}"/>
    <cellStyle name="Calculation 2 5 3 2 3" xfId="4922" xr:uid="{00000000-0005-0000-0000-00006E0B0000}"/>
    <cellStyle name="Calculation 2 5 3 2 3 2" xfId="8961" xr:uid="{00000000-0005-0000-0000-00006F0B0000}"/>
    <cellStyle name="Calculation 2 5 3 2 3 2 2" xfId="24427" xr:uid="{00000000-0005-0000-0000-0000700B0000}"/>
    <cellStyle name="Calculation 2 5 3 2 3 3" xfId="15244" xr:uid="{00000000-0005-0000-0000-0000710B0000}"/>
    <cellStyle name="Calculation 2 5 3 2 3 3 2" xfId="30076" xr:uid="{00000000-0005-0000-0000-0000720B0000}"/>
    <cellStyle name="Calculation 2 5 3 2 3 4" xfId="21957" xr:uid="{00000000-0005-0000-0000-0000730B0000}"/>
    <cellStyle name="Calculation 2 5 3 2 4" xfId="2912" xr:uid="{00000000-0005-0000-0000-0000740B0000}"/>
    <cellStyle name="Calculation 2 5 3 2 4 2" xfId="6996" xr:uid="{00000000-0005-0000-0000-0000750B0000}"/>
    <cellStyle name="Calculation 2 5 3 2 4 2 2" xfId="23170" xr:uid="{00000000-0005-0000-0000-0000760B0000}"/>
    <cellStyle name="Calculation 2 5 3 2 4 3" xfId="13250" xr:uid="{00000000-0005-0000-0000-0000770B0000}"/>
    <cellStyle name="Calculation 2 5 3 2 4 3 2" xfId="28082" xr:uid="{00000000-0005-0000-0000-0000780B0000}"/>
    <cellStyle name="Calculation 2 5 3 2 4 4" xfId="20838" xr:uid="{00000000-0005-0000-0000-0000790B0000}"/>
    <cellStyle name="Calculation 2 5 3 2 5" xfId="6073" xr:uid="{00000000-0005-0000-0000-00007A0B0000}"/>
    <cellStyle name="Calculation 2 5 3 2 5 2" xfId="16260" xr:uid="{00000000-0005-0000-0000-00007B0B0000}"/>
    <cellStyle name="Calculation 2 5 3 2 5 2 2" xfId="31092" xr:uid="{00000000-0005-0000-0000-00007C0B0000}"/>
    <cellStyle name="Calculation 2 5 3 2 5 3" xfId="22606" xr:uid="{00000000-0005-0000-0000-00007D0B0000}"/>
    <cellStyle name="Calculation 2 5 3 2 6" xfId="12330" xr:uid="{00000000-0005-0000-0000-00007E0B0000}"/>
    <cellStyle name="Calculation 2 5 3 2 6 2" xfId="27162" xr:uid="{00000000-0005-0000-0000-00007F0B0000}"/>
    <cellStyle name="Calculation 2 5 3 2 7" xfId="9927" xr:uid="{00000000-0005-0000-0000-0000800B0000}"/>
    <cellStyle name="Calculation 2 5 3 2 7 2" xfId="20129" xr:uid="{00000000-0005-0000-0000-0000810B0000}"/>
    <cellStyle name="Calculation 2 5 3 3" xfId="3915" xr:uid="{00000000-0005-0000-0000-0000820B0000}"/>
    <cellStyle name="Calculation 2 5 3 3 2" xfId="7966" xr:uid="{00000000-0005-0000-0000-0000830B0000}"/>
    <cellStyle name="Calculation 2 5 3 3 2 2" xfId="23775" xr:uid="{00000000-0005-0000-0000-0000840B0000}"/>
    <cellStyle name="Calculation 2 5 3 3 3" xfId="14248" xr:uid="{00000000-0005-0000-0000-0000850B0000}"/>
    <cellStyle name="Calculation 2 5 3 3 3 2" xfId="29080" xr:uid="{00000000-0005-0000-0000-0000860B0000}"/>
    <cellStyle name="Calculation 2 5 3 3 4" xfId="21416" xr:uid="{00000000-0005-0000-0000-0000870B0000}"/>
    <cellStyle name="Calculation 2 5 3 4" xfId="4502" xr:uid="{00000000-0005-0000-0000-0000880B0000}"/>
    <cellStyle name="Calculation 2 5 3 4 2" xfId="8541" xr:uid="{00000000-0005-0000-0000-0000890B0000}"/>
    <cellStyle name="Calculation 2 5 3 4 2 2" xfId="24167" xr:uid="{00000000-0005-0000-0000-00008A0B0000}"/>
    <cellStyle name="Calculation 2 5 3 4 3" xfId="14829" xr:uid="{00000000-0005-0000-0000-00008B0B0000}"/>
    <cellStyle name="Calculation 2 5 3 4 3 2" xfId="29661" xr:uid="{00000000-0005-0000-0000-00008C0B0000}"/>
    <cellStyle name="Calculation 2 5 3 4 4" xfId="21727" xr:uid="{00000000-0005-0000-0000-00008D0B0000}"/>
    <cellStyle name="Calculation 2 5 3 5" xfId="2492" xr:uid="{00000000-0005-0000-0000-00008E0B0000}"/>
    <cellStyle name="Calculation 2 5 3 5 2" xfId="6598" xr:uid="{00000000-0005-0000-0000-00008F0B0000}"/>
    <cellStyle name="Calculation 2 5 3 5 2 2" xfId="22936" xr:uid="{00000000-0005-0000-0000-0000900B0000}"/>
    <cellStyle name="Calculation 2 5 3 5 3" xfId="12830" xr:uid="{00000000-0005-0000-0000-0000910B0000}"/>
    <cellStyle name="Calculation 2 5 3 5 3 2" xfId="27662" xr:uid="{00000000-0005-0000-0000-0000920B0000}"/>
    <cellStyle name="Calculation 2 5 3 5 4" xfId="20582" xr:uid="{00000000-0005-0000-0000-0000930B0000}"/>
    <cellStyle name="Calculation 2 5 3 6" xfId="5615" xr:uid="{00000000-0005-0000-0000-0000940B0000}"/>
    <cellStyle name="Calculation 2 5 3 6 2" xfId="15850" xr:uid="{00000000-0005-0000-0000-0000950B0000}"/>
    <cellStyle name="Calculation 2 5 3 6 2 2" xfId="30682" xr:uid="{00000000-0005-0000-0000-0000960B0000}"/>
    <cellStyle name="Calculation 2 5 3 6 3" xfId="22311" xr:uid="{00000000-0005-0000-0000-0000970B0000}"/>
    <cellStyle name="Calculation 2 5 3 7" xfId="11859" xr:uid="{00000000-0005-0000-0000-0000980B0000}"/>
    <cellStyle name="Calculation 2 5 3 7 2" xfId="26691" xr:uid="{00000000-0005-0000-0000-0000990B0000}"/>
    <cellStyle name="Calculation 2 5 3 8" xfId="9532" xr:uid="{00000000-0005-0000-0000-00009A0B0000}"/>
    <cellStyle name="Calculation 2 5 3 8 2" xfId="19834" xr:uid="{00000000-0005-0000-0000-00009B0B0000}"/>
    <cellStyle name="Calculation 2 5 4" xfId="1412" xr:uid="{00000000-0005-0000-0000-00009C0B0000}"/>
    <cellStyle name="Calculation 2 5 4 2" xfId="1914" xr:uid="{00000000-0005-0000-0000-00009D0B0000}"/>
    <cellStyle name="Calculation 2 5 4 2 2" xfId="4007" xr:uid="{00000000-0005-0000-0000-00009E0B0000}"/>
    <cellStyle name="Calculation 2 5 4 2 2 2" xfId="8054" xr:uid="{00000000-0005-0000-0000-00009F0B0000}"/>
    <cellStyle name="Calculation 2 5 4 2 2 2 2" xfId="23833" xr:uid="{00000000-0005-0000-0000-0000A00B0000}"/>
    <cellStyle name="Calculation 2 5 4 2 2 3" xfId="14339" xr:uid="{00000000-0005-0000-0000-0000A10B0000}"/>
    <cellStyle name="Calculation 2 5 4 2 2 3 2" xfId="29171" xr:uid="{00000000-0005-0000-0000-0000A20B0000}"/>
    <cellStyle name="Calculation 2 5 4 2 2 4" xfId="21471" xr:uid="{00000000-0005-0000-0000-0000A30B0000}"/>
    <cellStyle name="Calculation 2 5 4 2 3" xfId="4892" xr:uid="{00000000-0005-0000-0000-0000A40B0000}"/>
    <cellStyle name="Calculation 2 5 4 2 3 2" xfId="8931" xr:uid="{00000000-0005-0000-0000-0000A50B0000}"/>
    <cellStyle name="Calculation 2 5 4 2 3 2 2" xfId="24397" xr:uid="{00000000-0005-0000-0000-0000A60B0000}"/>
    <cellStyle name="Calculation 2 5 4 2 3 3" xfId="15215" xr:uid="{00000000-0005-0000-0000-0000A70B0000}"/>
    <cellStyle name="Calculation 2 5 4 2 3 3 2" xfId="30047" xr:uid="{00000000-0005-0000-0000-0000A80B0000}"/>
    <cellStyle name="Calculation 2 5 4 2 3 4" xfId="21929" xr:uid="{00000000-0005-0000-0000-0000A90B0000}"/>
    <cellStyle name="Calculation 2 5 4 2 4" xfId="2882" xr:uid="{00000000-0005-0000-0000-0000AA0B0000}"/>
    <cellStyle name="Calculation 2 5 4 2 4 2" xfId="6967" xr:uid="{00000000-0005-0000-0000-0000AB0B0000}"/>
    <cellStyle name="Calculation 2 5 4 2 4 2 2" xfId="23142" xr:uid="{00000000-0005-0000-0000-0000AC0B0000}"/>
    <cellStyle name="Calculation 2 5 4 2 4 3" xfId="13220" xr:uid="{00000000-0005-0000-0000-0000AD0B0000}"/>
    <cellStyle name="Calculation 2 5 4 2 4 3 2" xfId="28052" xr:uid="{00000000-0005-0000-0000-0000AE0B0000}"/>
    <cellStyle name="Calculation 2 5 4 2 4 4" xfId="20808" xr:uid="{00000000-0005-0000-0000-0000AF0B0000}"/>
    <cellStyle name="Calculation 2 5 4 2 5" xfId="6045" xr:uid="{00000000-0005-0000-0000-0000B00B0000}"/>
    <cellStyle name="Calculation 2 5 4 2 5 2" xfId="16232" xr:uid="{00000000-0005-0000-0000-0000B10B0000}"/>
    <cellStyle name="Calculation 2 5 4 2 5 2 2" xfId="31064" xr:uid="{00000000-0005-0000-0000-0000B20B0000}"/>
    <cellStyle name="Calculation 2 5 4 2 5 3" xfId="22578" xr:uid="{00000000-0005-0000-0000-0000B30B0000}"/>
    <cellStyle name="Calculation 2 5 4 2 6" xfId="12302" xr:uid="{00000000-0005-0000-0000-0000B40B0000}"/>
    <cellStyle name="Calculation 2 5 4 2 6 2" xfId="27134" xr:uid="{00000000-0005-0000-0000-0000B50B0000}"/>
    <cellStyle name="Calculation 2 5 4 2 7" xfId="9898" xr:uid="{00000000-0005-0000-0000-0000B60B0000}"/>
    <cellStyle name="Calculation 2 5 4 2 7 2" xfId="20101" xr:uid="{00000000-0005-0000-0000-0000B70B0000}"/>
    <cellStyle name="Calculation 2 5 4 3" xfId="3641" xr:uid="{00000000-0005-0000-0000-0000B80B0000}"/>
    <cellStyle name="Calculation 2 5 4 3 2" xfId="7700" xr:uid="{00000000-0005-0000-0000-0000B90B0000}"/>
    <cellStyle name="Calculation 2 5 4 3 2 2" xfId="23600" xr:uid="{00000000-0005-0000-0000-0000BA0B0000}"/>
    <cellStyle name="Calculation 2 5 4 3 3" xfId="13976" xr:uid="{00000000-0005-0000-0000-0000BB0B0000}"/>
    <cellStyle name="Calculation 2 5 4 3 3 2" xfId="28808" xr:uid="{00000000-0005-0000-0000-0000BC0B0000}"/>
    <cellStyle name="Calculation 2 5 4 3 4" xfId="21266" xr:uid="{00000000-0005-0000-0000-0000BD0B0000}"/>
    <cellStyle name="Calculation 2 5 4 4" xfId="4472" xr:uid="{00000000-0005-0000-0000-0000BE0B0000}"/>
    <cellStyle name="Calculation 2 5 4 4 2" xfId="8511" xr:uid="{00000000-0005-0000-0000-0000BF0B0000}"/>
    <cellStyle name="Calculation 2 5 4 4 2 2" xfId="24137" xr:uid="{00000000-0005-0000-0000-0000C00B0000}"/>
    <cellStyle name="Calculation 2 5 4 4 3" xfId="14800" xr:uid="{00000000-0005-0000-0000-0000C10B0000}"/>
    <cellStyle name="Calculation 2 5 4 4 3 2" xfId="29632" xr:uid="{00000000-0005-0000-0000-0000C20B0000}"/>
    <cellStyle name="Calculation 2 5 4 4 4" xfId="21699" xr:uid="{00000000-0005-0000-0000-0000C30B0000}"/>
    <cellStyle name="Calculation 2 5 4 5" xfId="2462" xr:uid="{00000000-0005-0000-0000-0000C40B0000}"/>
    <cellStyle name="Calculation 2 5 4 5 2" xfId="6568" xr:uid="{00000000-0005-0000-0000-0000C50B0000}"/>
    <cellStyle name="Calculation 2 5 4 5 2 2" xfId="22906" xr:uid="{00000000-0005-0000-0000-0000C60B0000}"/>
    <cellStyle name="Calculation 2 5 4 5 3" xfId="12801" xr:uid="{00000000-0005-0000-0000-0000C70B0000}"/>
    <cellStyle name="Calculation 2 5 4 5 3 2" xfId="27633" xr:uid="{00000000-0005-0000-0000-0000C80B0000}"/>
    <cellStyle name="Calculation 2 5 4 5 4" xfId="20554" xr:uid="{00000000-0005-0000-0000-0000C90B0000}"/>
    <cellStyle name="Calculation 2 5 4 6" xfId="5586" xr:uid="{00000000-0005-0000-0000-0000CA0B0000}"/>
    <cellStyle name="Calculation 2 5 4 6 2" xfId="15821" xr:uid="{00000000-0005-0000-0000-0000CB0B0000}"/>
    <cellStyle name="Calculation 2 5 4 6 2 2" xfId="30653" xr:uid="{00000000-0005-0000-0000-0000CC0B0000}"/>
    <cellStyle name="Calculation 2 5 4 6 3" xfId="22282" xr:uid="{00000000-0005-0000-0000-0000CD0B0000}"/>
    <cellStyle name="Calculation 2 5 4 7" xfId="11831" xr:uid="{00000000-0005-0000-0000-0000CE0B0000}"/>
    <cellStyle name="Calculation 2 5 4 7 2" xfId="26663" xr:uid="{00000000-0005-0000-0000-0000CF0B0000}"/>
    <cellStyle name="Calculation 2 5 4 8" xfId="9503" xr:uid="{00000000-0005-0000-0000-0000D00B0000}"/>
    <cellStyle name="Calculation 2 5 4 8 2" xfId="19806" xr:uid="{00000000-0005-0000-0000-0000D10B0000}"/>
    <cellStyle name="Calculation 2 5 5" xfId="1428" xr:uid="{00000000-0005-0000-0000-0000D20B0000}"/>
    <cellStyle name="Calculation 2 5 5 2" xfId="1929" xr:uid="{00000000-0005-0000-0000-0000D30B0000}"/>
    <cellStyle name="Calculation 2 5 5 2 2" xfId="4060" xr:uid="{00000000-0005-0000-0000-0000D40B0000}"/>
    <cellStyle name="Calculation 2 5 5 2 2 2" xfId="8107" xr:uid="{00000000-0005-0000-0000-0000D50B0000}"/>
    <cellStyle name="Calculation 2 5 5 2 2 2 2" xfId="23867" xr:uid="{00000000-0005-0000-0000-0000D60B0000}"/>
    <cellStyle name="Calculation 2 5 5 2 2 3" xfId="14392" xr:uid="{00000000-0005-0000-0000-0000D70B0000}"/>
    <cellStyle name="Calculation 2 5 5 2 2 3 2" xfId="29224" xr:uid="{00000000-0005-0000-0000-0000D80B0000}"/>
    <cellStyle name="Calculation 2 5 5 2 2 4" xfId="21501" xr:uid="{00000000-0005-0000-0000-0000D90B0000}"/>
    <cellStyle name="Calculation 2 5 5 2 3" xfId="4908" xr:uid="{00000000-0005-0000-0000-0000DA0B0000}"/>
    <cellStyle name="Calculation 2 5 5 2 3 2" xfId="8947" xr:uid="{00000000-0005-0000-0000-0000DB0B0000}"/>
    <cellStyle name="Calculation 2 5 5 2 3 2 2" xfId="24413" xr:uid="{00000000-0005-0000-0000-0000DC0B0000}"/>
    <cellStyle name="Calculation 2 5 5 2 3 3" xfId="15230" xr:uid="{00000000-0005-0000-0000-0000DD0B0000}"/>
    <cellStyle name="Calculation 2 5 5 2 3 3 2" xfId="30062" xr:uid="{00000000-0005-0000-0000-0000DE0B0000}"/>
    <cellStyle name="Calculation 2 5 5 2 3 4" xfId="21943" xr:uid="{00000000-0005-0000-0000-0000DF0B0000}"/>
    <cellStyle name="Calculation 2 5 5 2 4" xfId="2898" xr:uid="{00000000-0005-0000-0000-0000E00B0000}"/>
    <cellStyle name="Calculation 2 5 5 2 4 2" xfId="6982" xr:uid="{00000000-0005-0000-0000-0000E10B0000}"/>
    <cellStyle name="Calculation 2 5 5 2 4 2 2" xfId="23156" xr:uid="{00000000-0005-0000-0000-0000E20B0000}"/>
    <cellStyle name="Calculation 2 5 5 2 4 3" xfId="13236" xr:uid="{00000000-0005-0000-0000-0000E30B0000}"/>
    <cellStyle name="Calculation 2 5 5 2 4 3 2" xfId="28068" xr:uid="{00000000-0005-0000-0000-0000E40B0000}"/>
    <cellStyle name="Calculation 2 5 5 2 4 4" xfId="20824" xr:uid="{00000000-0005-0000-0000-0000E50B0000}"/>
    <cellStyle name="Calculation 2 5 5 2 5" xfId="6059" xr:uid="{00000000-0005-0000-0000-0000E60B0000}"/>
    <cellStyle name="Calculation 2 5 5 2 5 2" xfId="16246" xr:uid="{00000000-0005-0000-0000-0000E70B0000}"/>
    <cellStyle name="Calculation 2 5 5 2 5 2 2" xfId="31078" xr:uid="{00000000-0005-0000-0000-0000E80B0000}"/>
    <cellStyle name="Calculation 2 5 5 2 5 3" xfId="22592" xr:uid="{00000000-0005-0000-0000-0000E90B0000}"/>
    <cellStyle name="Calculation 2 5 5 2 6" xfId="12316" xr:uid="{00000000-0005-0000-0000-0000EA0B0000}"/>
    <cellStyle name="Calculation 2 5 5 2 6 2" xfId="27148" xr:uid="{00000000-0005-0000-0000-0000EB0B0000}"/>
    <cellStyle name="Calculation 2 5 5 2 7" xfId="9913" xr:uid="{00000000-0005-0000-0000-0000EC0B0000}"/>
    <cellStyle name="Calculation 2 5 5 2 7 2" xfId="20115" xr:uid="{00000000-0005-0000-0000-0000ED0B0000}"/>
    <cellStyle name="Calculation 2 5 5 3" xfId="4017" xr:uid="{00000000-0005-0000-0000-0000EE0B0000}"/>
    <cellStyle name="Calculation 2 5 5 3 2" xfId="8064" xr:uid="{00000000-0005-0000-0000-0000EF0B0000}"/>
    <cellStyle name="Calculation 2 5 5 3 2 2" xfId="23840" xr:uid="{00000000-0005-0000-0000-0000F00B0000}"/>
    <cellStyle name="Calculation 2 5 5 3 3" xfId="14349" xr:uid="{00000000-0005-0000-0000-0000F10B0000}"/>
    <cellStyle name="Calculation 2 5 5 3 3 2" xfId="29181" xr:uid="{00000000-0005-0000-0000-0000F20B0000}"/>
    <cellStyle name="Calculation 2 5 5 3 4" xfId="21478" xr:uid="{00000000-0005-0000-0000-0000F30B0000}"/>
    <cellStyle name="Calculation 2 5 5 4" xfId="4488" xr:uid="{00000000-0005-0000-0000-0000F40B0000}"/>
    <cellStyle name="Calculation 2 5 5 4 2" xfId="8527" xr:uid="{00000000-0005-0000-0000-0000F50B0000}"/>
    <cellStyle name="Calculation 2 5 5 4 2 2" xfId="24153" xr:uid="{00000000-0005-0000-0000-0000F60B0000}"/>
    <cellStyle name="Calculation 2 5 5 4 3" xfId="14815" xr:uid="{00000000-0005-0000-0000-0000F70B0000}"/>
    <cellStyle name="Calculation 2 5 5 4 3 2" xfId="29647" xr:uid="{00000000-0005-0000-0000-0000F80B0000}"/>
    <cellStyle name="Calculation 2 5 5 4 4" xfId="21713" xr:uid="{00000000-0005-0000-0000-0000F90B0000}"/>
    <cellStyle name="Calculation 2 5 5 5" xfId="2478" xr:uid="{00000000-0005-0000-0000-0000FA0B0000}"/>
    <cellStyle name="Calculation 2 5 5 5 2" xfId="6584" xr:uid="{00000000-0005-0000-0000-0000FB0B0000}"/>
    <cellStyle name="Calculation 2 5 5 5 2 2" xfId="22922" xr:uid="{00000000-0005-0000-0000-0000FC0B0000}"/>
    <cellStyle name="Calculation 2 5 5 5 3" xfId="12816" xr:uid="{00000000-0005-0000-0000-0000FD0B0000}"/>
    <cellStyle name="Calculation 2 5 5 5 3 2" xfId="27648" xr:uid="{00000000-0005-0000-0000-0000FE0B0000}"/>
    <cellStyle name="Calculation 2 5 5 5 4" xfId="20568" xr:uid="{00000000-0005-0000-0000-0000FF0B0000}"/>
    <cellStyle name="Calculation 2 5 5 6" xfId="5601" xr:uid="{00000000-0005-0000-0000-0000000C0000}"/>
    <cellStyle name="Calculation 2 5 5 6 2" xfId="15836" xr:uid="{00000000-0005-0000-0000-0000010C0000}"/>
    <cellStyle name="Calculation 2 5 5 6 2 2" xfId="30668" xr:uid="{00000000-0005-0000-0000-0000020C0000}"/>
    <cellStyle name="Calculation 2 5 5 6 3" xfId="22297" xr:uid="{00000000-0005-0000-0000-0000030C0000}"/>
    <cellStyle name="Calculation 2 5 5 7" xfId="11845" xr:uid="{00000000-0005-0000-0000-0000040C0000}"/>
    <cellStyle name="Calculation 2 5 5 7 2" xfId="26677" xr:uid="{00000000-0005-0000-0000-0000050C0000}"/>
    <cellStyle name="Calculation 2 5 5 8" xfId="9518" xr:uid="{00000000-0005-0000-0000-0000060C0000}"/>
    <cellStyle name="Calculation 2 5 5 8 2" xfId="19820" xr:uid="{00000000-0005-0000-0000-0000070C0000}"/>
    <cellStyle name="Calculation 2 5 6" xfId="1719" xr:uid="{00000000-0005-0000-0000-0000080C0000}"/>
    <cellStyle name="Calculation 2 5 6 2" xfId="3784" xr:uid="{00000000-0005-0000-0000-0000090C0000}"/>
    <cellStyle name="Calculation 2 5 6 2 2" xfId="7839" xr:uid="{00000000-0005-0000-0000-00000A0C0000}"/>
    <cellStyle name="Calculation 2 5 6 2 2 2" xfId="23695" xr:uid="{00000000-0005-0000-0000-00000B0C0000}"/>
    <cellStyle name="Calculation 2 5 6 2 3" xfId="14119" xr:uid="{00000000-0005-0000-0000-00000C0C0000}"/>
    <cellStyle name="Calculation 2 5 6 2 3 2" xfId="28951" xr:uid="{00000000-0005-0000-0000-00000D0C0000}"/>
    <cellStyle name="Calculation 2 5 6 2 4" xfId="21347" xr:uid="{00000000-0005-0000-0000-00000E0C0000}"/>
    <cellStyle name="Calculation 2 5 6 3" xfId="4712" xr:uid="{00000000-0005-0000-0000-00000F0C0000}"/>
    <cellStyle name="Calculation 2 5 6 3 2" xfId="8751" xr:uid="{00000000-0005-0000-0000-0000100C0000}"/>
    <cellStyle name="Calculation 2 5 6 3 2 2" xfId="24281" xr:uid="{00000000-0005-0000-0000-0000110C0000}"/>
    <cellStyle name="Calculation 2 5 6 3 3" xfId="15036" xr:uid="{00000000-0005-0000-0000-0000120C0000}"/>
    <cellStyle name="Calculation 2 5 6 3 3 2" xfId="29868" xr:uid="{00000000-0005-0000-0000-0000130C0000}"/>
    <cellStyle name="Calculation 2 5 6 3 4" xfId="21819" xr:uid="{00000000-0005-0000-0000-0000140C0000}"/>
    <cellStyle name="Calculation 2 5 6 4" xfId="2702" xr:uid="{00000000-0005-0000-0000-0000150C0000}"/>
    <cellStyle name="Calculation 2 5 6 4 2" xfId="6793" xr:uid="{00000000-0005-0000-0000-0000160C0000}"/>
    <cellStyle name="Calculation 2 5 6 4 2 2" xfId="23032" xr:uid="{00000000-0005-0000-0000-0000170C0000}"/>
    <cellStyle name="Calculation 2 5 6 4 3" xfId="13040" xr:uid="{00000000-0005-0000-0000-0000180C0000}"/>
    <cellStyle name="Calculation 2 5 6 4 3 2" xfId="27872" xr:uid="{00000000-0005-0000-0000-0000190C0000}"/>
    <cellStyle name="Calculation 2 5 6 4 4" xfId="20692" xr:uid="{00000000-0005-0000-0000-00001A0C0000}"/>
    <cellStyle name="Calculation 2 5 6 5" xfId="5851" xr:uid="{00000000-0005-0000-0000-00001B0C0000}"/>
    <cellStyle name="Calculation 2 5 6 5 2" xfId="16043" xr:uid="{00000000-0005-0000-0000-00001C0C0000}"/>
    <cellStyle name="Calculation 2 5 6 5 2 2" xfId="30875" xr:uid="{00000000-0005-0000-0000-00001D0C0000}"/>
    <cellStyle name="Calculation 2 5 6 5 3" xfId="22448" xr:uid="{00000000-0005-0000-0000-00001E0C0000}"/>
    <cellStyle name="Calculation 2 5 6 6" xfId="12113" xr:uid="{00000000-0005-0000-0000-00001F0C0000}"/>
    <cellStyle name="Calculation 2 5 6 6 2" xfId="26945" xr:uid="{00000000-0005-0000-0000-0000200C0000}"/>
    <cellStyle name="Calculation 2 5 6 7" xfId="9724" xr:uid="{00000000-0005-0000-0000-0000210C0000}"/>
    <cellStyle name="Calculation 2 5 6 7 2" xfId="20022" xr:uid="{00000000-0005-0000-0000-0000220C0000}"/>
    <cellStyle name="Calculation 2 5 7" xfId="2232" xr:uid="{00000000-0005-0000-0000-0000230C0000}"/>
    <cellStyle name="Calculation 2 5 7 2" xfId="3445" xr:uid="{00000000-0005-0000-0000-0000240C0000}"/>
    <cellStyle name="Calculation 2 5 7 2 2" xfId="7508" xr:uid="{00000000-0005-0000-0000-0000250C0000}"/>
    <cellStyle name="Calculation 2 5 7 2 2 2" xfId="23481" xr:uid="{00000000-0005-0000-0000-0000260C0000}"/>
    <cellStyle name="Calculation 2 5 7 2 3" xfId="13782" xr:uid="{00000000-0005-0000-0000-0000270C0000}"/>
    <cellStyle name="Calculation 2 5 7 2 3 2" xfId="28614" xr:uid="{00000000-0005-0000-0000-0000280C0000}"/>
    <cellStyle name="Calculation 2 5 7 2 4" xfId="21157" xr:uid="{00000000-0005-0000-0000-0000290C0000}"/>
    <cellStyle name="Calculation 2 5 7 3" xfId="5200" xr:uid="{00000000-0005-0000-0000-00002A0C0000}"/>
    <cellStyle name="Calculation 2 5 7 3 2" xfId="9239" xr:uid="{00000000-0005-0000-0000-00002B0C0000}"/>
    <cellStyle name="Calculation 2 5 7 3 2 2" xfId="24577" xr:uid="{00000000-0005-0000-0000-00002C0C0000}"/>
    <cellStyle name="Calculation 2 5 7 3 3" xfId="15518" xr:uid="{00000000-0005-0000-0000-00002D0C0000}"/>
    <cellStyle name="Calculation 2 5 7 3 3 2" xfId="30350" xr:uid="{00000000-0005-0000-0000-00002E0C0000}"/>
    <cellStyle name="Calculation 2 5 7 3 4" xfId="22084" xr:uid="{00000000-0005-0000-0000-00002F0C0000}"/>
    <cellStyle name="Calculation 2 5 7 4" xfId="4230" xr:uid="{00000000-0005-0000-0000-0000300C0000}"/>
    <cellStyle name="Calculation 2 5 7 4 2" xfId="8271" xr:uid="{00000000-0005-0000-0000-0000310C0000}"/>
    <cellStyle name="Calculation 2 5 7 4 2 2" xfId="23966" xr:uid="{00000000-0005-0000-0000-0000320C0000}"/>
    <cellStyle name="Calculation 2 5 7 4 3" xfId="14562" xr:uid="{00000000-0005-0000-0000-0000330C0000}"/>
    <cellStyle name="Calculation 2 5 7 4 3 2" xfId="29394" xr:uid="{00000000-0005-0000-0000-0000340C0000}"/>
    <cellStyle name="Calculation 2 5 7 4 4" xfId="21591" xr:uid="{00000000-0005-0000-0000-0000350C0000}"/>
    <cellStyle name="Calculation 2 5 7 5" xfId="6346" xr:uid="{00000000-0005-0000-0000-0000360C0000}"/>
    <cellStyle name="Calculation 2 5 7 5 2" xfId="22748" xr:uid="{00000000-0005-0000-0000-0000370C0000}"/>
    <cellStyle name="Calculation 2 5 7 6" xfId="12600" xr:uid="{00000000-0005-0000-0000-0000380C0000}"/>
    <cellStyle name="Calculation 2 5 7 6 2" xfId="27432" xr:uid="{00000000-0005-0000-0000-0000390C0000}"/>
    <cellStyle name="Calculation 2 5 7 7" xfId="20427" xr:uid="{00000000-0005-0000-0000-00003A0C0000}"/>
    <cellStyle name="Calculation 2 5 8" xfId="3467" xr:uid="{00000000-0005-0000-0000-00003B0C0000}"/>
    <cellStyle name="Calculation 2 5 8 2" xfId="7530" xr:uid="{00000000-0005-0000-0000-00003C0C0000}"/>
    <cellStyle name="Calculation 2 5 8 2 2" xfId="23497" xr:uid="{00000000-0005-0000-0000-00003D0C0000}"/>
    <cellStyle name="Calculation 2 5 8 3" xfId="13804" xr:uid="{00000000-0005-0000-0000-00003E0C0000}"/>
    <cellStyle name="Calculation 2 5 8 3 2" xfId="28636" xr:uid="{00000000-0005-0000-0000-00003F0C0000}"/>
    <cellStyle name="Calculation 2 5 8 4" xfId="21172" xr:uid="{00000000-0005-0000-0000-0000400C0000}"/>
    <cellStyle name="Calculation 2 5 9" xfId="3345" xr:uid="{00000000-0005-0000-0000-0000410C0000}"/>
    <cellStyle name="Calculation 2 5 9 2" xfId="7408" xr:uid="{00000000-0005-0000-0000-0000420C0000}"/>
    <cellStyle name="Calculation 2 5 9 2 2" xfId="23413" xr:uid="{00000000-0005-0000-0000-0000430C0000}"/>
    <cellStyle name="Calculation 2 5 9 3" xfId="13682" xr:uid="{00000000-0005-0000-0000-0000440C0000}"/>
    <cellStyle name="Calculation 2 5 9 3 2" xfId="28514" xr:uid="{00000000-0005-0000-0000-0000450C0000}"/>
    <cellStyle name="Calculation 2 5 9 4" xfId="21100" xr:uid="{00000000-0005-0000-0000-0000460C0000}"/>
    <cellStyle name="Calculation 2 6" xfId="967" xr:uid="{00000000-0005-0000-0000-0000470C0000}"/>
    <cellStyle name="Calculation 2 6 10" xfId="2273" xr:uid="{00000000-0005-0000-0000-0000480C0000}"/>
    <cellStyle name="Calculation 2 6 10 2" xfId="6385" xr:uid="{00000000-0005-0000-0000-0000490C0000}"/>
    <cellStyle name="Calculation 2 6 10 2 2" xfId="22787" xr:uid="{00000000-0005-0000-0000-00004A0C0000}"/>
    <cellStyle name="Calculation 2 6 10 3" xfId="12613" xr:uid="{00000000-0005-0000-0000-00004B0C0000}"/>
    <cellStyle name="Calculation 2 6 10 3 2" xfId="27445" xr:uid="{00000000-0005-0000-0000-00004C0C0000}"/>
    <cellStyle name="Calculation 2 6 10 4" xfId="20439" xr:uid="{00000000-0005-0000-0000-00004D0C0000}"/>
    <cellStyle name="Calculation 2 6 11" xfId="5239" xr:uid="{00000000-0005-0000-0000-00004E0C0000}"/>
    <cellStyle name="Calculation 2 6 11 2" xfId="15555" xr:uid="{00000000-0005-0000-0000-00004F0C0000}"/>
    <cellStyle name="Calculation 2 6 11 2 2" xfId="30387" xr:uid="{00000000-0005-0000-0000-0000500C0000}"/>
    <cellStyle name="Calculation 2 6 11 3" xfId="22096" xr:uid="{00000000-0005-0000-0000-0000510C0000}"/>
    <cellStyle name="Calculation 2 6 12" xfId="5397" xr:uid="{00000000-0005-0000-0000-0000520C0000}"/>
    <cellStyle name="Calculation 2 6 12 2" xfId="15633" xr:uid="{00000000-0005-0000-0000-0000530C0000}"/>
    <cellStyle name="Calculation 2 6 12 2 2" xfId="30465" xr:uid="{00000000-0005-0000-0000-0000540C0000}"/>
    <cellStyle name="Calculation 2 6 12 3" xfId="22158" xr:uid="{00000000-0005-0000-0000-0000550C0000}"/>
    <cellStyle name="Calculation 2 6 13" xfId="9394" xr:uid="{00000000-0005-0000-0000-0000560C0000}"/>
    <cellStyle name="Calculation 2 6 13 2" xfId="24700" xr:uid="{00000000-0005-0000-0000-0000570C0000}"/>
    <cellStyle name="Calculation 2 6 14" xfId="6273" xr:uid="{00000000-0005-0000-0000-0000580C0000}"/>
    <cellStyle name="Calculation 2 6 14 2" xfId="18576" xr:uid="{00000000-0005-0000-0000-0000590C0000}"/>
    <cellStyle name="Calculation 2 6 2" xfId="1309" xr:uid="{00000000-0005-0000-0000-00005A0C0000}"/>
    <cellStyle name="Calculation 2 6 2 2" xfId="1813" xr:uid="{00000000-0005-0000-0000-00005B0C0000}"/>
    <cellStyle name="Calculation 2 6 2 2 2" xfId="3563" xr:uid="{00000000-0005-0000-0000-00005C0C0000}"/>
    <cellStyle name="Calculation 2 6 2 2 2 2" xfId="7625" xr:uid="{00000000-0005-0000-0000-00005D0C0000}"/>
    <cellStyle name="Calculation 2 6 2 2 2 2 2" xfId="23554" xr:uid="{00000000-0005-0000-0000-00005E0C0000}"/>
    <cellStyle name="Calculation 2 6 2 2 2 3" xfId="13899" xr:uid="{00000000-0005-0000-0000-00005F0C0000}"/>
    <cellStyle name="Calculation 2 6 2 2 2 3 2" xfId="28731" xr:uid="{00000000-0005-0000-0000-0000600C0000}"/>
    <cellStyle name="Calculation 2 6 2 2 2 4" xfId="21224" xr:uid="{00000000-0005-0000-0000-0000610C0000}"/>
    <cellStyle name="Calculation 2 6 2 2 3" xfId="4791" xr:uid="{00000000-0005-0000-0000-0000620C0000}"/>
    <cellStyle name="Calculation 2 6 2 2 3 2" xfId="8830" xr:uid="{00000000-0005-0000-0000-0000630C0000}"/>
    <cellStyle name="Calculation 2 6 2 2 3 2 2" xfId="24328" xr:uid="{00000000-0005-0000-0000-0000640C0000}"/>
    <cellStyle name="Calculation 2 6 2 2 3 3" xfId="15115" xr:uid="{00000000-0005-0000-0000-0000650C0000}"/>
    <cellStyle name="Calculation 2 6 2 2 3 3 2" xfId="29947" xr:uid="{00000000-0005-0000-0000-0000660C0000}"/>
    <cellStyle name="Calculation 2 6 2 2 3 4" xfId="21866" xr:uid="{00000000-0005-0000-0000-0000670C0000}"/>
    <cellStyle name="Calculation 2 6 2 2 4" xfId="2781" xr:uid="{00000000-0005-0000-0000-0000680C0000}"/>
    <cellStyle name="Calculation 2 6 2 2 4 2" xfId="6872" xr:uid="{00000000-0005-0000-0000-0000690C0000}"/>
    <cellStyle name="Calculation 2 6 2 2 4 2 2" xfId="23079" xr:uid="{00000000-0005-0000-0000-00006A0C0000}"/>
    <cellStyle name="Calculation 2 6 2 2 4 3" xfId="13119" xr:uid="{00000000-0005-0000-0000-00006B0C0000}"/>
    <cellStyle name="Calculation 2 6 2 2 4 3 2" xfId="27951" xr:uid="{00000000-0005-0000-0000-00006C0C0000}"/>
    <cellStyle name="Calculation 2 6 2 2 4 4" xfId="20739" xr:uid="{00000000-0005-0000-0000-00006D0C0000}"/>
    <cellStyle name="Calculation 2 6 2 2 5" xfId="5945" xr:uid="{00000000-0005-0000-0000-00006E0C0000}"/>
    <cellStyle name="Calculation 2 6 2 2 5 2" xfId="16137" xr:uid="{00000000-0005-0000-0000-00006F0C0000}"/>
    <cellStyle name="Calculation 2 6 2 2 5 2 2" xfId="30969" xr:uid="{00000000-0005-0000-0000-0000700C0000}"/>
    <cellStyle name="Calculation 2 6 2 2 5 3" xfId="22510" xr:uid="{00000000-0005-0000-0000-0000710C0000}"/>
    <cellStyle name="Calculation 2 6 2 2 6" xfId="12207" xr:uid="{00000000-0005-0000-0000-0000720C0000}"/>
    <cellStyle name="Calculation 2 6 2 2 6 2" xfId="27039" xr:uid="{00000000-0005-0000-0000-0000730C0000}"/>
    <cellStyle name="Calculation 2 6 2 2 7" xfId="9803" xr:uid="{00000000-0005-0000-0000-0000740C0000}"/>
    <cellStyle name="Calculation 2 6 2 2 7 2" xfId="20054" xr:uid="{00000000-0005-0000-0000-0000750C0000}"/>
    <cellStyle name="Calculation 2 6 2 3" xfId="3782" xr:uid="{00000000-0005-0000-0000-0000760C0000}"/>
    <cellStyle name="Calculation 2 6 2 3 2" xfId="7837" xr:uid="{00000000-0005-0000-0000-0000770C0000}"/>
    <cellStyle name="Calculation 2 6 2 3 2 2" xfId="23693" xr:uid="{00000000-0005-0000-0000-0000780C0000}"/>
    <cellStyle name="Calculation 2 6 2 3 3" xfId="14117" xr:uid="{00000000-0005-0000-0000-0000790C0000}"/>
    <cellStyle name="Calculation 2 6 2 3 3 2" xfId="28949" xr:uid="{00000000-0005-0000-0000-00007A0C0000}"/>
    <cellStyle name="Calculation 2 6 2 3 4" xfId="21345" xr:uid="{00000000-0005-0000-0000-00007B0C0000}"/>
    <cellStyle name="Calculation 2 6 2 4" xfId="4371" xr:uid="{00000000-0005-0000-0000-00007C0C0000}"/>
    <cellStyle name="Calculation 2 6 2 4 2" xfId="8410" xr:uid="{00000000-0005-0000-0000-00007D0C0000}"/>
    <cellStyle name="Calculation 2 6 2 4 2 2" xfId="24068" xr:uid="{00000000-0005-0000-0000-00007E0C0000}"/>
    <cellStyle name="Calculation 2 6 2 4 3" xfId="14700" xr:uid="{00000000-0005-0000-0000-00007F0C0000}"/>
    <cellStyle name="Calculation 2 6 2 4 3 2" xfId="29532" xr:uid="{00000000-0005-0000-0000-0000800C0000}"/>
    <cellStyle name="Calculation 2 6 2 4 4" xfId="21636" xr:uid="{00000000-0005-0000-0000-0000810C0000}"/>
    <cellStyle name="Calculation 2 6 2 5" xfId="2361" xr:uid="{00000000-0005-0000-0000-0000820C0000}"/>
    <cellStyle name="Calculation 2 6 2 5 2" xfId="6473" xr:uid="{00000000-0005-0000-0000-0000830C0000}"/>
    <cellStyle name="Calculation 2 6 2 5 2 2" xfId="22843" xr:uid="{00000000-0005-0000-0000-0000840C0000}"/>
    <cellStyle name="Calculation 2 6 2 5 3" xfId="12700" xr:uid="{00000000-0005-0000-0000-0000850C0000}"/>
    <cellStyle name="Calculation 2 6 2 5 3 2" xfId="27532" xr:uid="{00000000-0005-0000-0000-0000860C0000}"/>
    <cellStyle name="Calculation 2 6 2 5 4" xfId="20485" xr:uid="{00000000-0005-0000-0000-0000870C0000}"/>
    <cellStyle name="Calculation 2 6 2 6" xfId="5486" xr:uid="{00000000-0005-0000-0000-0000880C0000}"/>
    <cellStyle name="Calculation 2 6 2 6 2" xfId="15721" xr:uid="{00000000-0005-0000-0000-0000890C0000}"/>
    <cellStyle name="Calculation 2 6 2 6 2 2" xfId="30553" xr:uid="{00000000-0005-0000-0000-00008A0C0000}"/>
    <cellStyle name="Calculation 2 6 2 6 3" xfId="22214" xr:uid="{00000000-0005-0000-0000-00008B0C0000}"/>
    <cellStyle name="Calculation 2 6 2 7" xfId="11736" xr:uid="{00000000-0005-0000-0000-00008C0C0000}"/>
    <cellStyle name="Calculation 2 6 2 7 2" xfId="26568" xr:uid="{00000000-0005-0000-0000-00008D0C0000}"/>
    <cellStyle name="Calculation 2 6 2 8" xfId="9407" xr:uid="{00000000-0005-0000-0000-00008E0C0000}"/>
    <cellStyle name="Calculation 2 6 2 8 2" xfId="19711" xr:uid="{00000000-0005-0000-0000-00008F0C0000}"/>
    <cellStyle name="Calculation 2 6 3" xfId="1443" xr:uid="{00000000-0005-0000-0000-0000900C0000}"/>
    <cellStyle name="Calculation 2 6 3 2" xfId="1944" xr:uid="{00000000-0005-0000-0000-0000910C0000}"/>
    <cellStyle name="Calculation 2 6 3 2 2" xfId="3771" xr:uid="{00000000-0005-0000-0000-0000920C0000}"/>
    <cellStyle name="Calculation 2 6 3 2 2 2" xfId="7827" xr:uid="{00000000-0005-0000-0000-0000930C0000}"/>
    <cellStyle name="Calculation 2 6 3 2 2 2 2" xfId="23684" xr:uid="{00000000-0005-0000-0000-0000940C0000}"/>
    <cellStyle name="Calculation 2 6 3 2 2 3" xfId="14106" xr:uid="{00000000-0005-0000-0000-0000950C0000}"/>
    <cellStyle name="Calculation 2 6 3 2 2 3 2" xfId="28938" xr:uid="{00000000-0005-0000-0000-0000960C0000}"/>
    <cellStyle name="Calculation 2 6 3 2 2 4" xfId="21340" xr:uid="{00000000-0005-0000-0000-0000970C0000}"/>
    <cellStyle name="Calculation 2 6 3 2 3" xfId="4923" xr:uid="{00000000-0005-0000-0000-0000980C0000}"/>
    <cellStyle name="Calculation 2 6 3 2 3 2" xfId="8962" xr:uid="{00000000-0005-0000-0000-0000990C0000}"/>
    <cellStyle name="Calculation 2 6 3 2 3 2 2" xfId="24428" xr:uid="{00000000-0005-0000-0000-00009A0C0000}"/>
    <cellStyle name="Calculation 2 6 3 2 3 3" xfId="15245" xr:uid="{00000000-0005-0000-0000-00009B0C0000}"/>
    <cellStyle name="Calculation 2 6 3 2 3 3 2" xfId="30077" xr:uid="{00000000-0005-0000-0000-00009C0C0000}"/>
    <cellStyle name="Calculation 2 6 3 2 3 4" xfId="21958" xr:uid="{00000000-0005-0000-0000-00009D0C0000}"/>
    <cellStyle name="Calculation 2 6 3 2 4" xfId="2913" xr:uid="{00000000-0005-0000-0000-00009E0C0000}"/>
    <cellStyle name="Calculation 2 6 3 2 4 2" xfId="6997" xr:uid="{00000000-0005-0000-0000-00009F0C0000}"/>
    <cellStyle name="Calculation 2 6 3 2 4 2 2" xfId="23171" xr:uid="{00000000-0005-0000-0000-0000A00C0000}"/>
    <cellStyle name="Calculation 2 6 3 2 4 3" xfId="13251" xr:uid="{00000000-0005-0000-0000-0000A10C0000}"/>
    <cellStyle name="Calculation 2 6 3 2 4 3 2" xfId="28083" xr:uid="{00000000-0005-0000-0000-0000A20C0000}"/>
    <cellStyle name="Calculation 2 6 3 2 4 4" xfId="20839" xr:uid="{00000000-0005-0000-0000-0000A30C0000}"/>
    <cellStyle name="Calculation 2 6 3 2 5" xfId="6074" xr:uid="{00000000-0005-0000-0000-0000A40C0000}"/>
    <cellStyle name="Calculation 2 6 3 2 5 2" xfId="16261" xr:uid="{00000000-0005-0000-0000-0000A50C0000}"/>
    <cellStyle name="Calculation 2 6 3 2 5 2 2" xfId="31093" xr:uid="{00000000-0005-0000-0000-0000A60C0000}"/>
    <cellStyle name="Calculation 2 6 3 2 5 3" xfId="22607" xr:uid="{00000000-0005-0000-0000-0000A70C0000}"/>
    <cellStyle name="Calculation 2 6 3 2 6" xfId="12331" xr:uid="{00000000-0005-0000-0000-0000A80C0000}"/>
    <cellStyle name="Calculation 2 6 3 2 6 2" xfId="27163" xr:uid="{00000000-0005-0000-0000-0000A90C0000}"/>
    <cellStyle name="Calculation 2 6 3 2 7" xfId="9928" xr:uid="{00000000-0005-0000-0000-0000AA0C0000}"/>
    <cellStyle name="Calculation 2 6 3 2 7 2" xfId="20130" xr:uid="{00000000-0005-0000-0000-0000AB0C0000}"/>
    <cellStyle name="Calculation 2 6 3 3" xfId="3295" xr:uid="{00000000-0005-0000-0000-0000AC0C0000}"/>
    <cellStyle name="Calculation 2 6 3 3 2" xfId="7359" xr:uid="{00000000-0005-0000-0000-0000AD0C0000}"/>
    <cellStyle name="Calculation 2 6 3 3 2 2" xfId="23382" xr:uid="{00000000-0005-0000-0000-0000AE0C0000}"/>
    <cellStyle name="Calculation 2 6 3 3 3" xfId="13632" xr:uid="{00000000-0005-0000-0000-0000AF0C0000}"/>
    <cellStyle name="Calculation 2 6 3 3 3 2" xfId="28464" xr:uid="{00000000-0005-0000-0000-0000B00C0000}"/>
    <cellStyle name="Calculation 2 6 3 3 4" xfId="21069" xr:uid="{00000000-0005-0000-0000-0000B10C0000}"/>
    <cellStyle name="Calculation 2 6 3 4" xfId="4503" xr:uid="{00000000-0005-0000-0000-0000B20C0000}"/>
    <cellStyle name="Calculation 2 6 3 4 2" xfId="8542" xr:uid="{00000000-0005-0000-0000-0000B30C0000}"/>
    <cellStyle name="Calculation 2 6 3 4 2 2" xfId="24168" xr:uid="{00000000-0005-0000-0000-0000B40C0000}"/>
    <cellStyle name="Calculation 2 6 3 4 3" xfId="14830" xr:uid="{00000000-0005-0000-0000-0000B50C0000}"/>
    <cellStyle name="Calculation 2 6 3 4 3 2" xfId="29662" xr:uid="{00000000-0005-0000-0000-0000B60C0000}"/>
    <cellStyle name="Calculation 2 6 3 4 4" xfId="21728" xr:uid="{00000000-0005-0000-0000-0000B70C0000}"/>
    <cellStyle name="Calculation 2 6 3 5" xfId="2493" xr:uid="{00000000-0005-0000-0000-0000B80C0000}"/>
    <cellStyle name="Calculation 2 6 3 5 2" xfId="6599" xr:uid="{00000000-0005-0000-0000-0000B90C0000}"/>
    <cellStyle name="Calculation 2 6 3 5 2 2" xfId="22937" xr:uid="{00000000-0005-0000-0000-0000BA0C0000}"/>
    <cellStyle name="Calculation 2 6 3 5 3" xfId="12831" xr:uid="{00000000-0005-0000-0000-0000BB0C0000}"/>
    <cellStyle name="Calculation 2 6 3 5 3 2" xfId="27663" xr:uid="{00000000-0005-0000-0000-0000BC0C0000}"/>
    <cellStyle name="Calculation 2 6 3 5 4" xfId="20583" xr:uid="{00000000-0005-0000-0000-0000BD0C0000}"/>
    <cellStyle name="Calculation 2 6 3 6" xfId="5616" xr:uid="{00000000-0005-0000-0000-0000BE0C0000}"/>
    <cellStyle name="Calculation 2 6 3 6 2" xfId="15851" xr:uid="{00000000-0005-0000-0000-0000BF0C0000}"/>
    <cellStyle name="Calculation 2 6 3 6 2 2" xfId="30683" xr:uid="{00000000-0005-0000-0000-0000C00C0000}"/>
    <cellStyle name="Calculation 2 6 3 6 3" xfId="22312" xr:uid="{00000000-0005-0000-0000-0000C10C0000}"/>
    <cellStyle name="Calculation 2 6 3 7" xfId="11860" xr:uid="{00000000-0005-0000-0000-0000C20C0000}"/>
    <cellStyle name="Calculation 2 6 3 7 2" xfId="26692" xr:uid="{00000000-0005-0000-0000-0000C30C0000}"/>
    <cellStyle name="Calculation 2 6 3 8" xfId="9533" xr:uid="{00000000-0005-0000-0000-0000C40C0000}"/>
    <cellStyle name="Calculation 2 6 3 8 2" xfId="19835" xr:uid="{00000000-0005-0000-0000-0000C50C0000}"/>
    <cellStyle name="Calculation 2 6 4" xfId="1411" xr:uid="{00000000-0005-0000-0000-0000C60C0000}"/>
    <cellStyle name="Calculation 2 6 4 2" xfId="1913" xr:uid="{00000000-0005-0000-0000-0000C70C0000}"/>
    <cellStyle name="Calculation 2 6 4 2 2" xfId="3384" xr:uid="{00000000-0005-0000-0000-0000C80C0000}"/>
    <cellStyle name="Calculation 2 6 4 2 2 2" xfId="7447" xr:uid="{00000000-0005-0000-0000-0000C90C0000}"/>
    <cellStyle name="Calculation 2 6 4 2 2 2 2" xfId="23439" xr:uid="{00000000-0005-0000-0000-0000CA0C0000}"/>
    <cellStyle name="Calculation 2 6 4 2 2 3" xfId="13721" xr:uid="{00000000-0005-0000-0000-0000CB0C0000}"/>
    <cellStyle name="Calculation 2 6 4 2 2 3 2" xfId="28553" xr:uid="{00000000-0005-0000-0000-0000CC0C0000}"/>
    <cellStyle name="Calculation 2 6 4 2 2 4" xfId="21121" xr:uid="{00000000-0005-0000-0000-0000CD0C0000}"/>
    <cellStyle name="Calculation 2 6 4 2 3" xfId="4891" xr:uid="{00000000-0005-0000-0000-0000CE0C0000}"/>
    <cellStyle name="Calculation 2 6 4 2 3 2" xfId="8930" xr:uid="{00000000-0005-0000-0000-0000CF0C0000}"/>
    <cellStyle name="Calculation 2 6 4 2 3 2 2" xfId="24396" xr:uid="{00000000-0005-0000-0000-0000D00C0000}"/>
    <cellStyle name="Calculation 2 6 4 2 3 3" xfId="15214" xr:uid="{00000000-0005-0000-0000-0000D10C0000}"/>
    <cellStyle name="Calculation 2 6 4 2 3 3 2" xfId="30046" xr:uid="{00000000-0005-0000-0000-0000D20C0000}"/>
    <cellStyle name="Calculation 2 6 4 2 3 4" xfId="21928" xr:uid="{00000000-0005-0000-0000-0000D30C0000}"/>
    <cellStyle name="Calculation 2 6 4 2 4" xfId="2881" xr:uid="{00000000-0005-0000-0000-0000D40C0000}"/>
    <cellStyle name="Calculation 2 6 4 2 4 2" xfId="6966" xr:uid="{00000000-0005-0000-0000-0000D50C0000}"/>
    <cellStyle name="Calculation 2 6 4 2 4 2 2" xfId="23141" xr:uid="{00000000-0005-0000-0000-0000D60C0000}"/>
    <cellStyle name="Calculation 2 6 4 2 4 3" xfId="13219" xr:uid="{00000000-0005-0000-0000-0000D70C0000}"/>
    <cellStyle name="Calculation 2 6 4 2 4 3 2" xfId="28051" xr:uid="{00000000-0005-0000-0000-0000D80C0000}"/>
    <cellStyle name="Calculation 2 6 4 2 4 4" xfId="20807" xr:uid="{00000000-0005-0000-0000-0000D90C0000}"/>
    <cellStyle name="Calculation 2 6 4 2 5" xfId="6044" xr:uid="{00000000-0005-0000-0000-0000DA0C0000}"/>
    <cellStyle name="Calculation 2 6 4 2 5 2" xfId="16231" xr:uid="{00000000-0005-0000-0000-0000DB0C0000}"/>
    <cellStyle name="Calculation 2 6 4 2 5 2 2" xfId="31063" xr:uid="{00000000-0005-0000-0000-0000DC0C0000}"/>
    <cellStyle name="Calculation 2 6 4 2 5 3" xfId="22577" xr:uid="{00000000-0005-0000-0000-0000DD0C0000}"/>
    <cellStyle name="Calculation 2 6 4 2 6" xfId="12301" xr:uid="{00000000-0005-0000-0000-0000DE0C0000}"/>
    <cellStyle name="Calculation 2 6 4 2 6 2" xfId="27133" xr:uid="{00000000-0005-0000-0000-0000DF0C0000}"/>
    <cellStyle name="Calculation 2 6 4 2 7" xfId="9897" xr:uid="{00000000-0005-0000-0000-0000E00C0000}"/>
    <cellStyle name="Calculation 2 6 4 2 7 2" xfId="20100" xr:uid="{00000000-0005-0000-0000-0000E10C0000}"/>
    <cellStyle name="Calculation 2 6 4 3" xfId="4005" xr:uid="{00000000-0005-0000-0000-0000E20C0000}"/>
    <cellStyle name="Calculation 2 6 4 3 2" xfId="8052" xr:uid="{00000000-0005-0000-0000-0000E30C0000}"/>
    <cellStyle name="Calculation 2 6 4 3 2 2" xfId="23832" xr:uid="{00000000-0005-0000-0000-0000E40C0000}"/>
    <cellStyle name="Calculation 2 6 4 3 3" xfId="14337" xr:uid="{00000000-0005-0000-0000-0000E50C0000}"/>
    <cellStyle name="Calculation 2 6 4 3 3 2" xfId="29169" xr:uid="{00000000-0005-0000-0000-0000E60C0000}"/>
    <cellStyle name="Calculation 2 6 4 3 4" xfId="21470" xr:uid="{00000000-0005-0000-0000-0000E70C0000}"/>
    <cellStyle name="Calculation 2 6 4 4" xfId="4471" xr:uid="{00000000-0005-0000-0000-0000E80C0000}"/>
    <cellStyle name="Calculation 2 6 4 4 2" xfId="8510" xr:uid="{00000000-0005-0000-0000-0000E90C0000}"/>
    <cellStyle name="Calculation 2 6 4 4 2 2" xfId="24136" xr:uid="{00000000-0005-0000-0000-0000EA0C0000}"/>
    <cellStyle name="Calculation 2 6 4 4 3" xfId="14799" xr:uid="{00000000-0005-0000-0000-0000EB0C0000}"/>
    <cellStyle name="Calculation 2 6 4 4 3 2" xfId="29631" xr:uid="{00000000-0005-0000-0000-0000EC0C0000}"/>
    <cellStyle name="Calculation 2 6 4 4 4" xfId="21698" xr:uid="{00000000-0005-0000-0000-0000ED0C0000}"/>
    <cellStyle name="Calculation 2 6 4 5" xfId="2461" xr:uid="{00000000-0005-0000-0000-0000EE0C0000}"/>
    <cellStyle name="Calculation 2 6 4 5 2" xfId="6567" xr:uid="{00000000-0005-0000-0000-0000EF0C0000}"/>
    <cellStyle name="Calculation 2 6 4 5 2 2" xfId="22905" xr:uid="{00000000-0005-0000-0000-0000F00C0000}"/>
    <cellStyle name="Calculation 2 6 4 5 3" xfId="12800" xr:uid="{00000000-0005-0000-0000-0000F10C0000}"/>
    <cellStyle name="Calculation 2 6 4 5 3 2" xfId="27632" xr:uid="{00000000-0005-0000-0000-0000F20C0000}"/>
    <cellStyle name="Calculation 2 6 4 5 4" xfId="20553" xr:uid="{00000000-0005-0000-0000-0000F30C0000}"/>
    <cellStyle name="Calculation 2 6 4 6" xfId="5585" xr:uid="{00000000-0005-0000-0000-0000F40C0000}"/>
    <cellStyle name="Calculation 2 6 4 6 2" xfId="15820" xr:uid="{00000000-0005-0000-0000-0000F50C0000}"/>
    <cellStyle name="Calculation 2 6 4 6 2 2" xfId="30652" xr:uid="{00000000-0005-0000-0000-0000F60C0000}"/>
    <cellStyle name="Calculation 2 6 4 6 3" xfId="22281" xr:uid="{00000000-0005-0000-0000-0000F70C0000}"/>
    <cellStyle name="Calculation 2 6 4 7" xfId="11830" xr:uid="{00000000-0005-0000-0000-0000F80C0000}"/>
    <cellStyle name="Calculation 2 6 4 7 2" xfId="26662" xr:uid="{00000000-0005-0000-0000-0000F90C0000}"/>
    <cellStyle name="Calculation 2 6 4 8" xfId="9502" xr:uid="{00000000-0005-0000-0000-0000FA0C0000}"/>
    <cellStyle name="Calculation 2 6 4 8 2" xfId="19805" xr:uid="{00000000-0005-0000-0000-0000FB0C0000}"/>
    <cellStyle name="Calculation 2 6 5" xfId="1422" xr:uid="{00000000-0005-0000-0000-0000FC0C0000}"/>
    <cellStyle name="Calculation 2 6 5 2" xfId="1923" xr:uid="{00000000-0005-0000-0000-0000FD0C0000}"/>
    <cellStyle name="Calculation 2 6 5 2 2" xfId="3371" xr:uid="{00000000-0005-0000-0000-0000FE0C0000}"/>
    <cellStyle name="Calculation 2 6 5 2 2 2" xfId="7434" xr:uid="{00000000-0005-0000-0000-0000FF0C0000}"/>
    <cellStyle name="Calculation 2 6 5 2 2 2 2" xfId="23432" xr:uid="{00000000-0005-0000-0000-0000000D0000}"/>
    <cellStyle name="Calculation 2 6 5 2 2 3" xfId="13708" xr:uid="{00000000-0005-0000-0000-0000010D0000}"/>
    <cellStyle name="Calculation 2 6 5 2 2 3 2" xfId="28540" xr:uid="{00000000-0005-0000-0000-0000020D0000}"/>
    <cellStyle name="Calculation 2 6 5 2 2 4" xfId="21114" xr:uid="{00000000-0005-0000-0000-0000030D0000}"/>
    <cellStyle name="Calculation 2 6 5 2 3" xfId="4902" xr:uid="{00000000-0005-0000-0000-0000040D0000}"/>
    <cellStyle name="Calculation 2 6 5 2 3 2" xfId="8941" xr:uid="{00000000-0005-0000-0000-0000050D0000}"/>
    <cellStyle name="Calculation 2 6 5 2 3 2 2" xfId="24407" xr:uid="{00000000-0005-0000-0000-0000060D0000}"/>
    <cellStyle name="Calculation 2 6 5 2 3 3" xfId="15224" xr:uid="{00000000-0005-0000-0000-0000070D0000}"/>
    <cellStyle name="Calculation 2 6 5 2 3 3 2" xfId="30056" xr:uid="{00000000-0005-0000-0000-0000080D0000}"/>
    <cellStyle name="Calculation 2 6 5 2 3 4" xfId="21937" xr:uid="{00000000-0005-0000-0000-0000090D0000}"/>
    <cellStyle name="Calculation 2 6 5 2 4" xfId="2892" xr:uid="{00000000-0005-0000-0000-00000A0D0000}"/>
    <cellStyle name="Calculation 2 6 5 2 4 2" xfId="6976" xr:uid="{00000000-0005-0000-0000-00000B0D0000}"/>
    <cellStyle name="Calculation 2 6 5 2 4 2 2" xfId="23150" xr:uid="{00000000-0005-0000-0000-00000C0D0000}"/>
    <cellStyle name="Calculation 2 6 5 2 4 3" xfId="13230" xr:uid="{00000000-0005-0000-0000-00000D0D0000}"/>
    <cellStyle name="Calculation 2 6 5 2 4 3 2" xfId="28062" xr:uid="{00000000-0005-0000-0000-00000E0D0000}"/>
    <cellStyle name="Calculation 2 6 5 2 4 4" xfId="20818" xr:uid="{00000000-0005-0000-0000-00000F0D0000}"/>
    <cellStyle name="Calculation 2 6 5 2 5" xfId="6053" xr:uid="{00000000-0005-0000-0000-0000100D0000}"/>
    <cellStyle name="Calculation 2 6 5 2 5 2" xfId="16240" xr:uid="{00000000-0005-0000-0000-0000110D0000}"/>
    <cellStyle name="Calculation 2 6 5 2 5 2 2" xfId="31072" xr:uid="{00000000-0005-0000-0000-0000120D0000}"/>
    <cellStyle name="Calculation 2 6 5 2 5 3" xfId="22586" xr:uid="{00000000-0005-0000-0000-0000130D0000}"/>
    <cellStyle name="Calculation 2 6 5 2 6" xfId="12310" xr:uid="{00000000-0005-0000-0000-0000140D0000}"/>
    <cellStyle name="Calculation 2 6 5 2 6 2" xfId="27142" xr:uid="{00000000-0005-0000-0000-0000150D0000}"/>
    <cellStyle name="Calculation 2 6 5 2 7" xfId="9907" xr:uid="{00000000-0005-0000-0000-0000160D0000}"/>
    <cellStyle name="Calculation 2 6 5 2 7 2" xfId="20109" xr:uid="{00000000-0005-0000-0000-0000170D0000}"/>
    <cellStyle name="Calculation 2 6 5 3" xfId="3865" xr:uid="{00000000-0005-0000-0000-0000180D0000}"/>
    <cellStyle name="Calculation 2 6 5 3 2" xfId="7917" xr:uid="{00000000-0005-0000-0000-0000190D0000}"/>
    <cellStyle name="Calculation 2 6 5 3 2 2" xfId="23749" xr:uid="{00000000-0005-0000-0000-00001A0D0000}"/>
    <cellStyle name="Calculation 2 6 5 3 3" xfId="14200" xr:uid="{00000000-0005-0000-0000-00001B0D0000}"/>
    <cellStyle name="Calculation 2 6 5 3 3 2" xfId="29032" xr:uid="{00000000-0005-0000-0000-00001C0D0000}"/>
    <cellStyle name="Calculation 2 6 5 3 4" xfId="21391" xr:uid="{00000000-0005-0000-0000-00001D0D0000}"/>
    <cellStyle name="Calculation 2 6 5 4" xfId="4482" xr:uid="{00000000-0005-0000-0000-00001E0D0000}"/>
    <cellStyle name="Calculation 2 6 5 4 2" xfId="8521" xr:uid="{00000000-0005-0000-0000-00001F0D0000}"/>
    <cellStyle name="Calculation 2 6 5 4 2 2" xfId="24147" xr:uid="{00000000-0005-0000-0000-0000200D0000}"/>
    <cellStyle name="Calculation 2 6 5 4 3" xfId="14809" xr:uid="{00000000-0005-0000-0000-0000210D0000}"/>
    <cellStyle name="Calculation 2 6 5 4 3 2" xfId="29641" xr:uid="{00000000-0005-0000-0000-0000220D0000}"/>
    <cellStyle name="Calculation 2 6 5 4 4" xfId="21707" xr:uid="{00000000-0005-0000-0000-0000230D0000}"/>
    <cellStyle name="Calculation 2 6 5 5" xfId="2472" xr:uid="{00000000-0005-0000-0000-0000240D0000}"/>
    <cellStyle name="Calculation 2 6 5 5 2" xfId="6578" xr:uid="{00000000-0005-0000-0000-0000250D0000}"/>
    <cellStyle name="Calculation 2 6 5 5 2 2" xfId="22916" xr:uid="{00000000-0005-0000-0000-0000260D0000}"/>
    <cellStyle name="Calculation 2 6 5 5 3" xfId="12810" xr:uid="{00000000-0005-0000-0000-0000270D0000}"/>
    <cellStyle name="Calculation 2 6 5 5 3 2" xfId="27642" xr:uid="{00000000-0005-0000-0000-0000280D0000}"/>
    <cellStyle name="Calculation 2 6 5 5 4" xfId="20562" xr:uid="{00000000-0005-0000-0000-0000290D0000}"/>
    <cellStyle name="Calculation 2 6 5 6" xfId="5595" xr:uid="{00000000-0005-0000-0000-00002A0D0000}"/>
    <cellStyle name="Calculation 2 6 5 6 2" xfId="15830" xr:uid="{00000000-0005-0000-0000-00002B0D0000}"/>
    <cellStyle name="Calculation 2 6 5 6 2 2" xfId="30662" xr:uid="{00000000-0005-0000-0000-00002C0D0000}"/>
    <cellStyle name="Calculation 2 6 5 6 3" xfId="22291" xr:uid="{00000000-0005-0000-0000-00002D0D0000}"/>
    <cellStyle name="Calculation 2 6 5 7" xfId="11839" xr:uid="{00000000-0005-0000-0000-00002E0D0000}"/>
    <cellStyle name="Calculation 2 6 5 7 2" xfId="26671" xr:uid="{00000000-0005-0000-0000-00002F0D0000}"/>
    <cellStyle name="Calculation 2 6 5 8" xfId="9512" xr:uid="{00000000-0005-0000-0000-0000300D0000}"/>
    <cellStyle name="Calculation 2 6 5 8 2" xfId="19814" xr:uid="{00000000-0005-0000-0000-0000310D0000}"/>
    <cellStyle name="Calculation 2 6 6" xfId="1720" xr:uid="{00000000-0005-0000-0000-0000320D0000}"/>
    <cellStyle name="Calculation 2 6 6 2" xfId="3663" xr:uid="{00000000-0005-0000-0000-0000330D0000}"/>
    <cellStyle name="Calculation 2 6 6 2 2" xfId="7722" xr:uid="{00000000-0005-0000-0000-0000340D0000}"/>
    <cellStyle name="Calculation 2 6 6 2 2 2" xfId="23618" xr:uid="{00000000-0005-0000-0000-0000350D0000}"/>
    <cellStyle name="Calculation 2 6 6 2 3" xfId="13998" xr:uid="{00000000-0005-0000-0000-0000360D0000}"/>
    <cellStyle name="Calculation 2 6 6 2 3 2" xfId="28830" xr:uid="{00000000-0005-0000-0000-0000370D0000}"/>
    <cellStyle name="Calculation 2 6 6 2 4" xfId="21282" xr:uid="{00000000-0005-0000-0000-0000380D0000}"/>
    <cellStyle name="Calculation 2 6 6 3" xfId="4713" xr:uid="{00000000-0005-0000-0000-0000390D0000}"/>
    <cellStyle name="Calculation 2 6 6 3 2" xfId="8752" xr:uid="{00000000-0005-0000-0000-00003A0D0000}"/>
    <cellStyle name="Calculation 2 6 6 3 2 2" xfId="24282" xr:uid="{00000000-0005-0000-0000-00003B0D0000}"/>
    <cellStyle name="Calculation 2 6 6 3 3" xfId="15037" xr:uid="{00000000-0005-0000-0000-00003C0D0000}"/>
    <cellStyle name="Calculation 2 6 6 3 3 2" xfId="29869" xr:uid="{00000000-0005-0000-0000-00003D0D0000}"/>
    <cellStyle name="Calculation 2 6 6 3 4" xfId="21820" xr:uid="{00000000-0005-0000-0000-00003E0D0000}"/>
    <cellStyle name="Calculation 2 6 6 4" xfId="2703" xr:uid="{00000000-0005-0000-0000-00003F0D0000}"/>
    <cellStyle name="Calculation 2 6 6 4 2" xfId="6794" xr:uid="{00000000-0005-0000-0000-0000400D0000}"/>
    <cellStyle name="Calculation 2 6 6 4 2 2" xfId="23033" xr:uid="{00000000-0005-0000-0000-0000410D0000}"/>
    <cellStyle name="Calculation 2 6 6 4 3" xfId="13041" xr:uid="{00000000-0005-0000-0000-0000420D0000}"/>
    <cellStyle name="Calculation 2 6 6 4 3 2" xfId="27873" xr:uid="{00000000-0005-0000-0000-0000430D0000}"/>
    <cellStyle name="Calculation 2 6 6 4 4" xfId="20693" xr:uid="{00000000-0005-0000-0000-0000440D0000}"/>
    <cellStyle name="Calculation 2 6 6 5" xfId="5852" xr:uid="{00000000-0005-0000-0000-0000450D0000}"/>
    <cellStyle name="Calculation 2 6 6 5 2" xfId="16044" xr:uid="{00000000-0005-0000-0000-0000460D0000}"/>
    <cellStyle name="Calculation 2 6 6 5 2 2" xfId="30876" xr:uid="{00000000-0005-0000-0000-0000470D0000}"/>
    <cellStyle name="Calculation 2 6 6 5 3" xfId="22449" xr:uid="{00000000-0005-0000-0000-0000480D0000}"/>
    <cellStyle name="Calculation 2 6 6 6" xfId="12114" xr:uid="{00000000-0005-0000-0000-0000490D0000}"/>
    <cellStyle name="Calculation 2 6 6 6 2" xfId="26946" xr:uid="{00000000-0005-0000-0000-00004A0D0000}"/>
    <cellStyle name="Calculation 2 6 6 7" xfId="9725" xr:uid="{00000000-0005-0000-0000-00004B0D0000}"/>
    <cellStyle name="Calculation 2 6 6 7 2" xfId="20023" xr:uid="{00000000-0005-0000-0000-00004C0D0000}"/>
    <cellStyle name="Calculation 2 6 7" xfId="2231" xr:uid="{00000000-0005-0000-0000-00004D0D0000}"/>
    <cellStyle name="Calculation 2 6 7 2" xfId="3424" xr:uid="{00000000-0005-0000-0000-00004E0D0000}"/>
    <cellStyle name="Calculation 2 6 7 2 2" xfId="7487" xr:uid="{00000000-0005-0000-0000-00004F0D0000}"/>
    <cellStyle name="Calculation 2 6 7 2 2 2" xfId="23467" xr:uid="{00000000-0005-0000-0000-0000500D0000}"/>
    <cellStyle name="Calculation 2 6 7 2 3" xfId="13761" xr:uid="{00000000-0005-0000-0000-0000510D0000}"/>
    <cellStyle name="Calculation 2 6 7 2 3 2" xfId="28593" xr:uid="{00000000-0005-0000-0000-0000520D0000}"/>
    <cellStyle name="Calculation 2 6 7 2 4" xfId="21144" xr:uid="{00000000-0005-0000-0000-0000530D0000}"/>
    <cellStyle name="Calculation 2 6 7 3" xfId="5199" xr:uid="{00000000-0005-0000-0000-0000540D0000}"/>
    <cellStyle name="Calculation 2 6 7 3 2" xfId="9238" xr:uid="{00000000-0005-0000-0000-0000550D0000}"/>
    <cellStyle name="Calculation 2 6 7 3 2 2" xfId="24576" xr:uid="{00000000-0005-0000-0000-0000560D0000}"/>
    <cellStyle name="Calculation 2 6 7 3 3" xfId="15517" xr:uid="{00000000-0005-0000-0000-0000570D0000}"/>
    <cellStyle name="Calculation 2 6 7 3 3 2" xfId="30349" xr:uid="{00000000-0005-0000-0000-0000580D0000}"/>
    <cellStyle name="Calculation 2 6 7 3 4" xfId="22083" xr:uid="{00000000-0005-0000-0000-0000590D0000}"/>
    <cellStyle name="Calculation 2 6 7 4" xfId="4229" xr:uid="{00000000-0005-0000-0000-00005A0D0000}"/>
    <cellStyle name="Calculation 2 6 7 4 2" xfId="8270" xr:uid="{00000000-0005-0000-0000-00005B0D0000}"/>
    <cellStyle name="Calculation 2 6 7 4 2 2" xfId="23965" xr:uid="{00000000-0005-0000-0000-00005C0D0000}"/>
    <cellStyle name="Calculation 2 6 7 4 3" xfId="14561" xr:uid="{00000000-0005-0000-0000-00005D0D0000}"/>
    <cellStyle name="Calculation 2 6 7 4 3 2" xfId="29393" xr:uid="{00000000-0005-0000-0000-00005E0D0000}"/>
    <cellStyle name="Calculation 2 6 7 4 4" xfId="21590" xr:uid="{00000000-0005-0000-0000-00005F0D0000}"/>
    <cellStyle name="Calculation 2 6 7 5" xfId="6345" xr:uid="{00000000-0005-0000-0000-0000600D0000}"/>
    <cellStyle name="Calculation 2 6 7 5 2" xfId="22747" xr:uid="{00000000-0005-0000-0000-0000610D0000}"/>
    <cellStyle name="Calculation 2 6 7 6" xfId="12599" xr:uid="{00000000-0005-0000-0000-0000620D0000}"/>
    <cellStyle name="Calculation 2 6 7 6 2" xfId="27431" xr:uid="{00000000-0005-0000-0000-0000630D0000}"/>
    <cellStyle name="Calculation 2 6 7 7" xfId="20426" xr:uid="{00000000-0005-0000-0000-0000640D0000}"/>
    <cellStyle name="Calculation 2 6 8" xfId="3945" xr:uid="{00000000-0005-0000-0000-0000650D0000}"/>
    <cellStyle name="Calculation 2 6 8 2" xfId="7995" xr:uid="{00000000-0005-0000-0000-0000660D0000}"/>
    <cellStyle name="Calculation 2 6 8 2 2" xfId="23796" xr:uid="{00000000-0005-0000-0000-0000670D0000}"/>
    <cellStyle name="Calculation 2 6 8 3" xfId="14278" xr:uid="{00000000-0005-0000-0000-0000680D0000}"/>
    <cellStyle name="Calculation 2 6 8 3 2" xfId="29110" xr:uid="{00000000-0005-0000-0000-0000690D0000}"/>
    <cellStyle name="Calculation 2 6 8 4" xfId="21438" xr:uid="{00000000-0005-0000-0000-00006A0D0000}"/>
    <cellStyle name="Calculation 2 6 9" xfId="3304" xr:uid="{00000000-0005-0000-0000-00006B0D0000}"/>
    <cellStyle name="Calculation 2 6 9 2" xfId="7368" xr:uid="{00000000-0005-0000-0000-00006C0D0000}"/>
    <cellStyle name="Calculation 2 6 9 2 2" xfId="23388" xr:uid="{00000000-0005-0000-0000-00006D0D0000}"/>
    <cellStyle name="Calculation 2 6 9 3" xfId="13641" xr:uid="{00000000-0005-0000-0000-00006E0D0000}"/>
    <cellStyle name="Calculation 2 6 9 3 2" xfId="28473" xr:uid="{00000000-0005-0000-0000-00006F0D0000}"/>
    <cellStyle name="Calculation 2 6 9 4" xfId="21075" xr:uid="{00000000-0005-0000-0000-0000700D0000}"/>
    <cellStyle name="Calculation 2 7" xfId="968" xr:uid="{00000000-0005-0000-0000-0000710D0000}"/>
    <cellStyle name="Calculation 2 7 10" xfId="2274" xr:uid="{00000000-0005-0000-0000-0000720D0000}"/>
    <cellStyle name="Calculation 2 7 10 2" xfId="6386" xr:uid="{00000000-0005-0000-0000-0000730D0000}"/>
    <cellStyle name="Calculation 2 7 10 2 2" xfId="22788" xr:uid="{00000000-0005-0000-0000-0000740D0000}"/>
    <cellStyle name="Calculation 2 7 10 3" xfId="12614" xr:uid="{00000000-0005-0000-0000-0000750D0000}"/>
    <cellStyle name="Calculation 2 7 10 3 2" xfId="27446" xr:uid="{00000000-0005-0000-0000-0000760D0000}"/>
    <cellStyle name="Calculation 2 7 10 4" xfId="20440" xr:uid="{00000000-0005-0000-0000-0000770D0000}"/>
    <cellStyle name="Calculation 2 7 11" xfId="5240" xr:uid="{00000000-0005-0000-0000-0000780D0000}"/>
    <cellStyle name="Calculation 2 7 11 2" xfId="15556" xr:uid="{00000000-0005-0000-0000-0000790D0000}"/>
    <cellStyle name="Calculation 2 7 11 2 2" xfId="30388" xr:uid="{00000000-0005-0000-0000-00007A0D0000}"/>
    <cellStyle name="Calculation 2 7 11 3" xfId="22097" xr:uid="{00000000-0005-0000-0000-00007B0D0000}"/>
    <cellStyle name="Calculation 2 7 12" xfId="5398" xr:uid="{00000000-0005-0000-0000-00007C0D0000}"/>
    <cellStyle name="Calculation 2 7 12 2" xfId="15634" xr:uid="{00000000-0005-0000-0000-00007D0D0000}"/>
    <cellStyle name="Calculation 2 7 12 2 2" xfId="30466" xr:uid="{00000000-0005-0000-0000-00007E0D0000}"/>
    <cellStyle name="Calculation 2 7 12 3" xfId="22159" xr:uid="{00000000-0005-0000-0000-00007F0D0000}"/>
    <cellStyle name="Calculation 2 7 13" xfId="9393" xr:uid="{00000000-0005-0000-0000-0000800D0000}"/>
    <cellStyle name="Calculation 2 7 13 2" xfId="24699" xr:uid="{00000000-0005-0000-0000-0000810D0000}"/>
    <cellStyle name="Calculation 2 7 14" xfId="5803" xr:uid="{00000000-0005-0000-0000-0000820D0000}"/>
    <cellStyle name="Calculation 2 7 14 2" xfId="18412" xr:uid="{00000000-0005-0000-0000-0000830D0000}"/>
    <cellStyle name="Calculation 2 7 2" xfId="1310" xr:uid="{00000000-0005-0000-0000-0000840D0000}"/>
    <cellStyle name="Calculation 2 7 2 2" xfId="1814" xr:uid="{00000000-0005-0000-0000-0000850D0000}"/>
    <cellStyle name="Calculation 2 7 2 2 2" xfId="3975" xr:uid="{00000000-0005-0000-0000-0000860D0000}"/>
    <cellStyle name="Calculation 2 7 2 2 2 2" xfId="8024" xr:uid="{00000000-0005-0000-0000-0000870D0000}"/>
    <cellStyle name="Calculation 2 7 2 2 2 2 2" xfId="23815" xr:uid="{00000000-0005-0000-0000-0000880D0000}"/>
    <cellStyle name="Calculation 2 7 2 2 2 3" xfId="14308" xr:uid="{00000000-0005-0000-0000-0000890D0000}"/>
    <cellStyle name="Calculation 2 7 2 2 2 3 2" xfId="29140" xr:uid="{00000000-0005-0000-0000-00008A0D0000}"/>
    <cellStyle name="Calculation 2 7 2 2 2 4" xfId="21453" xr:uid="{00000000-0005-0000-0000-00008B0D0000}"/>
    <cellStyle name="Calculation 2 7 2 2 3" xfId="4792" xr:uid="{00000000-0005-0000-0000-00008C0D0000}"/>
    <cellStyle name="Calculation 2 7 2 2 3 2" xfId="8831" xr:uid="{00000000-0005-0000-0000-00008D0D0000}"/>
    <cellStyle name="Calculation 2 7 2 2 3 2 2" xfId="24329" xr:uid="{00000000-0005-0000-0000-00008E0D0000}"/>
    <cellStyle name="Calculation 2 7 2 2 3 3" xfId="15116" xr:uid="{00000000-0005-0000-0000-00008F0D0000}"/>
    <cellStyle name="Calculation 2 7 2 2 3 3 2" xfId="29948" xr:uid="{00000000-0005-0000-0000-0000900D0000}"/>
    <cellStyle name="Calculation 2 7 2 2 3 4" xfId="21867" xr:uid="{00000000-0005-0000-0000-0000910D0000}"/>
    <cellStyle name="Calculation 2 7 2 2 4" xfId="2782" xr:uid="{00000000-0005-0000-0000-0000920D0000}"/>
    <cellStyle name="Calculation 2 7 2 2 4 2" xfId="6873" xr:uid="{00000000-0005-0000-0000-0000930D0000}"/>
    <cellStyle name="Calculation 2 7 2 2 4 2 2" xfId="23080" xr:uid="{00000000-0005-0000-0000-0000940D0000}"/>
    <cellStyle name="Calculation 2 7 2 2 4 3" xfId="13120" xr:uid="{00000000-0005-0000-0000-0000950D0000}"/>
    <cellStyle name="Calculation 2 7 2 2 4 3 2" xfId="27952" xr:uid="{00000000-0005-0000-0000-0000960D0000}"/>
    <cellStyle name="Calculation 2 7 2 2 4 4" xfId="20740" xr:uid="{00000000-0005-0000-0000-0000970D0000}"/>
    <cellStyle name="Calculation 2 7 2 2 5" xfId="5946" xr:uid="{00000000-0005-0000-0000-0000980D0000}"/>
    <cellStyle name="Calculation 2 7 2 2 5 2" xfId="16138" xr:uid="{00000000-0005-0000-0000-0000990D0000}"/>
    <cellStyle name="Calculation 2 7 2 2 5 2 2" xfId="30970" xr:uid="{00000000-0005-0000-0000-00009A0D0000}"/>
    <cellStyle name="Calculation 2 7 2 2 5 3" xfId="22511" xr:uid="{00000000-0005-0000-0000-00009B0D0000}"/>
    <cellStyle name="Calculation 2 7 2 2 6" xfId="12208" xr:uid="{00000000-0005-0000-0000-00009C0D0000}"/>
    <cellStyle name="Calculation 2 7 2 2 6 2" xfId="27040" xr:uid="{00000000-0005-0000-0000-00009D0D0000}"/>
    <cellStyle name="Calculation 2 7 2 2 7" xfId="9804" xr:uid="{00000000-0005-0000-0000-00009E0D0000}"/>
    <cellStyle name="Calculation 2 7 2 2 7 2" xfId="20055" xr:uid="{00000000-0005-0000-0000-00009F0D0000}"/>
    <cellStyle name="Calculation 2 7 2 3" xfId="3609" xr:uid="{00000000-0005-0000-0000-0000A00D0000}"/>
    <cellStyle name="Calculation 2 7 2 3 2" xfId="7670" xr:uid="{00000000-0005-0000-0000-0000A10D0000}"/>
    <cellStyle name="Calculation 2 7 2 3 2 2" xfId="23580" xr:uid="{00000000-0005-0000-0000-0000A20D0000}"/>
    <cellStyle name="Calculation 2 7 2 3 3" xfId="13945" xr:uid="{00000000-0005-0000-0000-0000A30D0000}"/>
    <cellStyle name="Calculation 2 7 2 3 3 2" xfId="28777" xr:uid="{00000000-0005-0000-0000-0000A40D0000}"/>
    <cellStyle name="Calculation 2 7 2 3 4" xfId="21249" xr:uid="{00000000-0005-0000-0000-0000A50D0000}"/>
    <cellStyle name="Calculation 2 7 2 4" xfId="4372" xr:uid="{00000000-0005-0000-0000-0000A60D0000}"/>
    <cellStyle name="Calculation 2 7 2 4 2" xfId="8411" xr:uid="{00000000-0005-0000-0000-0000A70D0000}"/>
    <cellStyle name="Calculation 2 7 2 4 2 2" xfId="24069" xr:uid="{00000000-0005-0000-0000-0000A80D0000}"/>
    <cellStyle name="Calculation 2 7 2 4 3" xfId="14701" xr:uid="{00000000-0005-0000-0000-0000A90D0000}"/>
    <cellStyle name="Calculation 2 7 2 4 3 2" xfId="29533" xr:uid="{00000000-0005-0000-0000-0000AA0D0000}"/>
    <cellStyle name="Calculation 2 7 2 4 4" xfId="21637" xr:uid="{00000000-0005-0000-0000-0000AB0D0000}"/>
    <cellStyle name="Calculation 2 7 2 5" xfId="2362" xr:uid="{00000000-0005-0000-0000-0000AC0D0000}"/>
    <cellStyle name="Calculation 2 7 2 5 2" xfId="6474" xr:uid="{00000000-0005-0000-0000-0000AD0D0000}"/>
    <cellStyle name="Calculation 2 7 2 5 2 2" xfId="22844" xr:uid="{00000000-0005-0000-0000-0000AE0D0000}"/>
    <cellStyle name="Calculation 2 7 2 5 3" xfId="12701" xr:uid="{00000000-0005-0000-0000-0000AF0D0000}"/>
    <cellStyle name="Calculation 2 7 2 5 3 2" xfId="27533" xr:uid="{00000000-0005-0000-0000-0000B00D0000}"/>
    <cellStyle name="Calculation 2 7 2 5 4" xfId="20486" xr:uid="{00000000-0005-0000-0000-0000B10D0000}"/>
    <cellStyle name="Calculation 2 7 2 6" xfId="5487" xr:uid="{00000000-0005-0000-0000-0000B20D0000}"/>
    <cellStyle name="Calculation 2 7 2 6 2" xfId="15722" xr:uid="{00000000-0005-0000-0000-0000B30D0000}"/>
    <cellStyle name="Calculation 2 7 2 6 2 2" xfId="30554" xr:uid="{00000000-0005-0000-0000-0000B40D0000}"/>
    <cellStyle name="Calculation 2 7 2 6 3" xfId="22215" xr:uid="{00000000-0005-0000-0000-0000B50D0000}"/>
    <cellStyle name="Calculation 2 7 2 7" xfId="11737" xr:uid="{00000000-0005-0000-0000-0000B60D0000}"/>
    <cellStyle name="Calculation 2 7 2 7 2" xfId="26569" xr:uid="{00000000-0005-0000-0000-0000B70D0000}"/>
    <cellStyle name="Calculation 2 7 2 8" xfId="9408" xr:uid="{00000000-0005-0000-0000-0000B80D0000}"/>
    <cellStyle name="Calculation 2 7 2 8 2" xfId="19712" xr:uid="{00000000-0005-0000-0000-0000B90D0000}"/>
    <cellStyle name="Calculation 2 7 3" xfId="1444" xr:uid="{00000000-0005-0000-0000-0000BA0D0000}"/>
    <cellStyle name="Calculation 2 7 3 2" xfId="1945" xr:uid="{00000000-0005-0000-0000-0000BB0D0000}"/>
    <cellStyle name="Calculation 2 7 3 2 2" xfId="3397" xr:uid="{00000000-0005-0000-0000-0000BC0D0000}"/>
    <cellStyle name="Calculation 2 7 3 2 2 2" xfId="7460" xr:uid="{00000000-0005-0000-0000-0000BD0D0000}"/>
    <cellStyle name="Calculation 2 7 3 2 2 2 2" xfId="23449" xr:uid="{00000000-0005-0000-0000-0000BE0D0000}"/>
    <cellStyle name="Calculation 2 7 3 2 2 3" xfId="13734" xr:uid="{00000000-0005-0000-0000-0000BF0D0000}"/>
    <cellStyle name="Calculation 2 7 3 2 2 3 2" xfId="28566" xr:uid="{00000000-0005-0000-0000-0000C00D0000}"/>
    <cellStyle name="Calculation 2 7 3 2 2 4" xfId="21127" xr:uid="{00000000-0005-0000-0000-0000C10D0000}"/>
    <cellStyle name="Calculation 2 7 3 2 3" xfId="4924" xr:uid="{00000000-0005-0000-0000-0000C20D0000}"/>
    <cellStyle name="Calculation 2 7 3 2 3 2" xfId="8963" xr:uid="{00000000-0005-0000-0000-0000C30D0000}"/>
    <cellStyle name="Calculation 2 7 3 2 3 2 2" xfId="24429" xr:uid="{00000000-0005-0000-0000-0000C40D0000}"/>
    <cellStyle name="Calculation 2 7 3 2 3 3" xfId="15246" xr:uid="{00000000-0005-0000-0000-0000C50D0000}"/>
    <cellStyle name="Calculation 2 7 3 2 3 3 2" xfId="30078" xr:uid="{00000000-0005-0000-0000-0000C60D0000}"/>
    <cellStyle name="Calculation 2 7 3 2 3 4" xfId="21959" xr:uid="{00000000-0005-0000-0000-0000C70D0000}"/>
    <cellStyle name="Calculation 2 7 3 2 4" xfId="2914" xr:uid="{00000000-0005-0000-0000-0000C80D0000}"/>
    <cellStyle name="Calculation 2 7 3 2 4 2" xfId="6998" xr:uid="{00000000-0005-0000-0000-0000C90D0000}"/>
    <cellStyle name="Calculation 2 7 3 2 4 2 2" xfId="23172" xr:uid="{00000000-0005-0000-0000-0000CA0D0000}"/>
    <cellStyle name="Calculation 2 7 3 2 4 3" xfId="13252" xr:uid="{00000000-0005-0000-0000-0000CB0D0000}"/>
    <cellStyle name="Calculation 2 7 3 2 4 3 2" xfId="28084" xr:uid="{00000000-0005-0000-0000-0000CC0D0000}"/>
    <cellStyle name="Calculation 2 7 3 2 4 4" xfId="20840" xr:uid="{00000000-0005-0000-0000-0000CD0D0000}"/>
    <cellStyle name="Calculation 2 7 3 2 5" xfId="6075" xr:uid="{00000000-0005-0000-0000-0000CE0D0000}"/>
    <cellStyle name="Calculation 2 7 3 2 5 2" xfId="16262" xr:uid="{00000000-0005-0000-0000-0000CF0D0000}"/>
    <cellStyle name="Calculation 2 7 3 2 5 2 2" xfId="31094" xr:uid="{00000000-0005-0000-0000-0000D00D0000}"/>
    <cellStyle name="Calculation 2 7 3 2 5 3" xfId="22608" xr:uid="{00000000-0005-0000-0000-0000D10D0000}"/>
    <cellStyle name="Calculation 2 7 3 2 6" xfId="12332" xr:uid="{00000000-0005-0000-0000-0000D20D0000}"/>
    <cellStyle name="Calculation 2 7 3 2 6 2" xfId="27164" xr:uid="{00000000-0005-0000-0000-0000D30D0000}"/>
    <cellStyle name="Calculation 2 7 3 2 7" xfId="9929" xr:uid="{00000000-0005-0000-0000-0000D40D0000}"/>
    <cellStyle name="Calculation 2 7 3 2 7 2" xfId="20131" xr:uid="{00000000-0005-0000-0000-0000D50D0000}"/>
    <cellStyle name="Calculation 2 7 3 3" xfId="3705" xr:uid="{00000000-0005-0000-0000-0000D60D0000}"/>
    <cellStyle name="Calculation 2 7 3 3 2" xfId="7761" xr:uid="{00000000-0005-0000-0000-0000D70D0000}"/>
    <cellStyle name="Calculation 2 7 3 3 2 2" xfId="23643" xr:uid="{00000000-0005-0000-0000-0000D80D0000}"/>
    <cellStyle name="Calculation 2 7 3 3 3" xfId="14040" xr:uid="{00000000-0005-0000-0000-0000D90D0000}"/>
    <cellStyle name="Calculation 2 7 3 3 3 2" xfId="28872" xr:uid="{00000000-0005-0000-0000-0000DA0D0000}"/>
    <cellStyle name="Calculation 2 7 3 3 4" xfId="21303" xr:uid="{00000000-0005-0000-0000-0000DB0D0000}"/>
    <cellStyle name="Calculation 2 7 3 4" xfId="4504" xr:uid="{00000000-0005-0000-0000-0000DC0D0000}"/>
    <cellStyle name="Calculation 2 7 3 4 2" xfId="8543" xr:uid="{00000000-0005-0000-0000-0000DD0D0000}"/>
    <cellStyle name="Calculation 2 7 3 4 2 2" xfId="24169" xr:uid="{00000000-0005-0000-0000-0000DE0D0000}"/>
    <cellStyle name="Calculation 2 7 3 4 3" xfId="14831" xr:uid="{00000000-0005-0000-0000-0000DF0D0000}"/>
    <cellStyle name="Calculation 2 7 3 4 3 2" xfId="29663" xr:uid="{00000000-0005-0000-0000-0000E00D0000}"/>
    <cellStyle name="Calculation 2 7 3 4 4" xfId="21729" xr:uid="{00000000-0005-0000-0000-0000E10D0000}"/>
    <cellStyle name="Calculation 2 7 3 5" xfId="2494" xr:uid="{00000000-0005-0000-0000-0000E20D0000}"/>
    <cellStyle name="Calculation 2 7 3 5 2" xfId="6600" xr:uid="{00000000-0005-0000-0000-0000E30D0000}"/>
    <cellStyle name="Calculation 2 7 3 5 2 2" xfId="22938" xr:uid="{00000000-0005-0000-0000-0000E40D0000}"/>
    <cellStyle name="Calculation 2 7 3 5 3" xfId="12832" xr:uid="{00000000-0005-0000-0000-0000E50D0000}"/>
    <cellStyle name="Calculation 2 7 3 5 3 2" xfId="27664" xr:uid="{00000000-0005-0000-0000-0000E60D0000}"/>
    <cellStyle name="Calculation 2 7 3 5 4" xfId="20584" xr:uid="{00000000-0005-0000-0000-0000E70D0000}"/>
    <cellStyle name="Calculation 2 7 3 6" xfId="5617" xr:uid="{00000000-0005-0000-0000-0000E80D0000}"/>
    <cellStyle name="Calculation 2 7 3 6 2" xfId="15852" xr:uid="{00000000-0005-0000-0000-0000E90D0000}"/>
    <cellStyle name="Calculation 2 7 3 6 2 2" xfId="30684" xr:uid="{00000000-0005-0000-0000-0000EA0D0000}"/>
    <cellStyle name="Calculation 2 7 3 6 3" xfId="22313" xr:uid="{00000000-0005-0000-0000-0000EB0D0000}"/>
    <cellStyle name="Calculation 2 7 3 7" xfId="11861" xr:uid="{00000000-0005-0000-0000-0000EC0D0000}"/>
    <cellStyle name="Calculation 2 7 3 7 2" xfId="26693" xr:uid="{00000000-0005-0000-0000-0000ED0D0000}"/>
    <cellStyle name="Calculation 2 7 3 8" xfId="9534" xr:uid="{00000000-0005-0000-0000-0000EE0D0000}"/>
    <cellStyle name="Calculation 2 7 3 8 2" xfId="19836" xr:uid="{00000000-0005-0000-0000-0000EF0D0000}"/>
    <cellStyle name="Calculation 2 7 4" xfId="1418" xr:uid="{00000000-0005-0000-0000-0000F00D0000}"/>
    <cellStyle name="Calculation 2 7 4 2" xfId="1920" xr:uid="{00000000-0005-0000-0000-0000F10D0000}"/>
    <cellStyle name="Calculation 2 7 4 2 2" xfId="3125" xr:uid="{00000000-0005-0000-0000-0000F20D0000}"/>
    <cellStyle name="Calculation 2 7 4 2 2 2" xfId="7189" xr:uid="{00000000-0005-0000-0000-0000F30D0000}"/>
    <cellStyle name="Calculation 2 7 4 2 2 2 2" xfId="23262" xr:uid="{00000000-0005-0000-0000-0000F40D0000}"/>
    <cellStyle name="Calculation 2 7 4 2 2 3" xfId="13463" xr:uid="{00000000-0005-0000-0000-0000F50D0000}"/>
    <cellStyle name="Calculation 2 7 4 2 2 3 2" xfId="28295" xr:uid="{00000000-0005-0000-0000-0000F60D0000}"/>
    <cellStyle name="Calculation 2 7 4 2 2 4" xfId="20953" xr:uid="{00000000-0005-0000-0000-0000F70D0000}"/>
    <cellStyle name="Calculation 2 7 4 2 3" xfId="4898" xr:uid="{00000000-0005-0000-0000-0000F80D0000}"/>
    <cellStyle name="Calculation 2 7 4 2 3 2" xfId="8937" xr:uid="{00000000-0005-0000-0000-0000F90D0000}"/>
    <cellStyle name="Calculation 2 7 4 2 3 2 2" xfId="24403" xr:uid="{00000000-0005-0000-0000-0000FA0D0000}"/>
    <cellStyle name="Calculation 2 7 4 2 3 3" xfId="15221" xr:uid="{00000000-0005-0000-0000-0000FB0D0000}"/>
    <cellStyle name="Calculation 2 7 4 2 3 3 2" xfId="30053" xr:uid="{00000000-0005-0000-0000-0000FC0D0000}"/>
    <cellStyle name="Calculation 2 7 4 2 3 4" xfId="21935" xr:uid="{00000000-0005-0000-0000-0000FD0D0000}"/>
    <cellStyle name="Calculation 2 7 4 2 4" xfId="2888" xr:uid="{00000000-0005-0000-0000-0000FE0D0000}"/>
    <cellStyle name="Calculation 2 7 4 2 4 2" xfId="6973" xr:uid="{00000000-0005-0000-0000-0000FF0D0000}"/>
    <cellStyle name="Calculation 2 7 4 2 4 2 2" xfId="23148" xr:uid="{00000000-0005-0000-0000-0000000E0000}"/>
    <cellStyle name="Calculation 2 7 4 2 4 3" xfId="13226" xr:uid="{00000000-0005-0000-0000-0000010E0000}"/>
    <cellStyle name="Calculation 2 7 4 2 4 3 2" xfId="28058" xr:uid="{00000000-0005-0000-0000-0000020E0000}"/>
    <cellStyle name="Calculation 2 7 4 2 4 4" xfId="20814" xr:uid="{00000000-0005-0000-0000-0000030E0000}"/>
    <cellStyle name="Calculation 2 7 4 2 5" xfId="6051" xr:uid="{00000000-0005-0000-0000-0000040E0000}"/>
    <cellStyle name="Calculation 2 7 4 2 5 2" xfId="16238" xr:uid="{00000000-0005-0000-0000-0000050E0000}"/>
    <cellStyle name="Calculation 2 7 4 2 5 2 2" xfId="31070" xr:uid="{00000000-0005-0000-0000-0000060E0000}"/>
    <cellStyle name="Calculation 2 7 4 2 5 3" xfId="22584" xr:uid="{00000000-0005-0000-0000-0000070E0000}"/>
    <cellStyle name="Calculation 2 7 4 2 6" xfId="12308" xr:uid="{00000000-0005-0000-0000-0000080E0000}"/>
    <cellStyle name="Calculation 2 7 4 2 6 2" xfId="27140" xr:uid="{00000000-0005-0000-0000-0000090E0000}"/>
    <cellStyle name="Calculation 2 7 4 2 7" xfId="9904" xr:uid="{00000000-0005-0000-0000-00000A0E0000}"/>
    <cellStyle name="Calculation 2 7 4 2 7 2" xfId="20107" xr:uid="{00000000-0005-0000-0000-00000B0E0000}"/>
    <cellStyle name="Calculation 2 7 4 3" xfId="3833" xr:uid="{00000000-0005-0000-0000-00000C0E0000}"/>
    <cellStyle name="Calculation 2 7 4 3 2" xfId="7886" xr:uid="{00000000-0005-0000-0000-00000D0E0000}"/>
    <cellStyle name="Calculation 2 7 4 3 2 2" xfId="23726" xr:uid="{00000000-0005-0000-0000-00000E0E0000}"/>
    <cellStyle name="Calculation 2 7 4 3 3" xfId="14168" xr:uid="{00000000-0005-0000-0000-00000F0E0000}"/>
    <cellStyle name="Calculation 2 7 4 3 3 2" xfId="29000" xr:uid="{00000000-0005-0000-0000-0000100E0000}"/>
    <cellStyle name="Calculation 2 7 4 3 4" xfId="21374" xr:uid="{00000000-0005-0000-0000-0000110E0000}"/>
    <cellStyle name="Calculation 2 7 4 4" xfId="4478" xr:uid="{00000000-0005-0000-0000-0000120E0000}"/>
    <cellStyle name="Calculation 2 7 4 4 2" xfId="8517" xr:uid="{00000000-0005-0000-0000-0000130E0000}"/>
    <cellStyle name="Calculation 2 7 4 4 2 2" xfId="24143" xr:uid="{00000000-0005-0000-0000-0000140E0000}"/>
    <cellStyle name="Calculation 2 7 4 4 3" xfId="14806" xr:uid="{00000000-0005-0000-0000-0000150E0000}"/>
    <cellStyle name="Calculation 2 7 4 4 3 2" xfId="29638" xr:uid="{00000000-0005-0000-0000-0000160E0000}"/>
    <cellStyle name="Calculation 2 7 4 4 4" xfId="21705" xr:uid="{00000000-0005-0000-0000-0000170E0000}"/>
    <cellStyle name="Calculation 2 7 4 5" xfId="2468" xr:uid="{00000000-0005-0000-0000-0000180E0000}"/>
    <cellStyle name="Calculation 2 7 4 5 2" xfId="6574" xr:uid="{00000000-0005-0000-0000-0000190E0000}"/>
    <cellStyle name="Calculation 2 7 4 5 2 2" xfId="22912" xr:uid="{00000000-0005-0000-0000-00001A0E0000}"/>
    <cellStyle name="Calculation 2 7 4 5 3" xfId="12807" xr:uid="{00000000-0005-0000-0000-00001B0E0000}"/>
    <cellStyle name="Calculation 2 7 4 5 3 2" xfId="27639" xr:uid="{00000000-0005-0000-0000-00001C0E0000}"/>
    <cellStyle name="Calculation 2 7 4 5 4" xfId="20560" xr:uid="{00000000-0005-0000-0000-00001D0E0000}"/>
    <cellStyle name="Calculation 2 7 4 6" xfId="5592" xr:uid="{00000000-0005-0000-0000-00001E0E0000}"/>
    <cellStyle name="Calculation 2 7 4 6 2" xfId="15827" xr:uid="{00000000-0005-0000-0000-00001F0E0000}"/>
    <cellStyle name="Calculation 2 7 4 6 2 2" xfId="30659" xr:uid="{00000000-0005-0000-0000-0000200E0000}"/>
    <cellStyle name="Calculation 2 7 4 6 3" xfId="22288" xr:uid="{00000000-0005-0000-0000-0000210E0000}"/>
    <cellStyle name="Calculation 2 7 4 7" xfId="11837" xr:uid="{00000000-0005-0000-0000-0000220E0000}"/>
    <cellStyle name="Calculation 2 7 4 7 2" xfId="26669" xr:uid="{00000000-0005-0000-0000-0000230E0000}"/>
    <cellStyle name="Calculation 2 7 4 8" xfId="9509" xr:uid="{00000000-0005-0000-0000-0000240E0000}"/>
    <cellStyle name="Calculation 2 7 4 8 2" xfId="19812" xr:uid="{00000000-0005-0000-0000-0000250E0000}"/>
    <cellStyle name="Calculation 2 7 5" xfId="1429" xr:uid="{00000000-0005-0000-0000-0000260E0000}"/>
    <cellStyle name="Calculation 2 7 5 2" xfId="1930" xr:uid="{00000000-0005-0000-0000-0000270E0000}"/>
    <cellStyle name="Calculation 2 7 5 2 2" xfId="3521" xr:uid="{00000000-0005-0000-0000-0000280E0000}"/>
    <cellStyle name="Calculation 2 7 5 2 2 2" xfId="7583" xr:uid="{00000000-0005-0000-0000-0000290E0000}"/>
    <cellStyle name="Calculation 2 7 5 2 2 2 2" xfId="23531" xr:uid="{00000000-0005-0000-0000-00002A0E0000}"/>
    <cellStyle name="Calculation 2 7 5 2 2 3" xfId="13858" xr:uid="{00000000-0005-0000-0000-00002B0E0000}"/>
    <cellStyle name="Calculation 2 7 5 2 2 3 2" xfId="28690" xr:uid="{00000000-0005-0000-0000-00002C0E0000}"/>
    <cellStyle name="Calculation 2 7 5 2 2 4" xfId="21206" xr:uid="{00000000-0005-0000-0000-00002D0E0000}"/>
    <cellStyle name="Calculation 2 7 5 2 3" xfId="4909" xr:uid="{00000000-0005-0000-0000-00002E0E0000}"/>
    <cellStyle name="Calculation 2 7 5 2 3 2" xfId="8948" xr:uid="{00000000-0005-0000-0000-00002F0E0000}"/>
    <cellStyle name="Calculation 2 7 5 2 3 2 2" xfId="24414" xr:uid="{00000000-0005-0000-0000-0000300E0000}"/>
    <cellStyle name="Calculation 2 7 5 2 3 3" xfId="15231" xr:uid="{00000000-0005-0000-0000-0000310E0000}"/>
    <cellStyle name="Calculation 2 7 5 2 3 3 2" xfId="30063" xr:uid="{00000000-0005-0000-0000-0000320E0000}"/>
    <cellStyle name="Calculation 2 7 5 2 3 4" xfId="21944" xr:uid="{00000000-0005-0000-0000-0000330E0000}"/>
    <cellStyle name="Calculation 2 7 5 2 4" xfId="2899" xr:uid="{00000000-0005-0000-0000-0000340E0000}"/>
    <cellStyle name="Calculation 2 7 5 2 4 2" xfId="6983" xr:uid="{00000000-0005-0000-0000-0000350E0000}"/>
    <cellStyle name="Calculation 2 7 5 2 4 2 2" xfId="23157" xr:uid="{00000000-0005-0000-0000-0000360E0000}"/>
    <cellStyle name="Calculation 2 7 5 2 4 3" xfId="13237" xr:uid="{00000000-0005-0000-0000-0000370E0000}"/>
    <cellStyle name="Calculation 2 7 5 2 4 3 2" xfId="28069" xr:uid="{00000000-0005-0000-0000-0000380E0000}"/>
    <cellStyle name="Calculation 2 7 5 2 4 4" xfId="20825" xr:uid="{00000000-0005-0000-0000-0000390E0000}"/>
    <cellStyle name="Calculation 2 7 5 2 5" xfId="6060" xr:uid="{00000000-0005-0000-0000-00003A0E0000}"/>
    <cellStyle name="Calculation 2 7 5 2 5 2" xfId="16247" xr:uid="{00000000-0005-0000-0000-00003B0E0000}"/>
    <cellStyle name="Calculation 2 7 5 2 5 2 2" xfId="31079" xr:uid="{00000000-0005-0000-0000-00003C0E0000}"/>
    <cellStyle name="Calculation 2 7 5 2 5 3" xfId="22593" xr:uid="{00000000-0005-0000-0000-00003D0E0000}"/>
    <cellStyle name="Calculation 2 7 5 2 6" xfId="12317" xr:uid="{00000000-0005-0000-0000-00003E0E0000}"/>
    <cellStyle name="Calculation 2 7 5 2 6 2" xfId="27149" xr:uid="{00000000-0005-0000-0000-00003F0E0000}"/>
    <cellStyle name="Calculation 2 7 5 2 7" xfId="9914" xr:uid="{00000000-0005-0000-0000-0000400E0000}"/>
    <cellStyle name="Calculation 2 7 5 2 7 2" xfId="20116" xr:uid="{00000000-0005-0000-0000-0000410E0000}"/>
    <cellStyle name="Calculation 2 7 5 3" xfId="4132" xr:uid="{00000000-0005-0000-0000-0000420E0000}"/>
    <cellStyle name="Calculation 2 7 5 3 2" xfId="8176" xr:uid="{00000000-0005-0000-0000-0000430E0000}"/>
    <cellStyle name="Calculation 2 7 5 3 2 2" xfId="23908" xr:uid="{00000000-0005-0000-0000-0000440E0000}"/>
    <cellStyle name="Calculation 2 7 5 3 3" xfId="14464" xr:uid="{00000000-0005-0000-0000-0000450E0000}"/>
    <cellStyle name="Calculation 2 7 5 3 3 2" xfId="29296" xr:uid="{00000000-0005-0000-0000-0000460E0000}"/>
    <cellStyle name="Calculation 2 7 5 3 4" xfId="21535" xr:uid="{00000000-0005-0000-0000-0000470E0000}"/>
    <cellStyle name="Calculation 2 7 5 4" xfId="4489" xr:uid="{00000000-0005-0000-0000-0000480E0000}"/>
    <cellStyle name="Calculation 2 7 5 4 2" xfId="8528" xr:uid="{00000000-0005-0000-0000-0000490E0000}"/>
    <cellStyle name="Calculation 2 7 5 4 2 2" xfId="24154" xr:uid="{00000000-0005-0000-0000-00004A0E0000}"/>
    <cellStyle name="Calculation 2 7 5 4 3" xfId="14816" xr:uid="{00000000-0005-0000-0000-00004B0E0000}"/>
    <cellStyle name="Calculation 2 7 5 4 3 2" xfId="29648" xr:uid="{00000000-0005-0000-0000-00004C0E0000}"/>
    <cellStyle name="Calculation 2 7 5 4 4" xfId="21714" xr:uid="{00000000-0005-0000-0000-00004D0E0000}"/>
    <cellStyle name="Calculation 2 7 5 5" xfId="2479" xr:uid="{00000000-0005-0000-0000-00004E0E0000}"/>
    <cellStyle name="Calculation 2 7 5 5 2" xfId="6585" xr:uid="{00000000-0005-0000-0000-00004F0E0000}"/>
    <cellStyle name="Calculation 2 7 5 5 2 2" xfId="22923" xr:uid="{00000000-0005-0000-0000-0000500E0000}"/>
    <cellStyle name="Calculation 2 7 5 5 3" xfId="12817" xr:uid="{00000000-0005-0000-0000-0000510E0000}"/>
    <cellStyle name="Calculation 2 7 5 5 3 2" xfId="27649" xr:uid="{00000000-0005-0000-0000-0000520E0000}"/>
    <cellStyle name="Calculation 2 7 5 5 4" xfId="20569" xr:uid="{00000000-0005-0000-0000-0000530E0000}"/>
    <cellStyle name="Calculation 2 7 5 6" xfId="5602" xr:uid="{00000000-0005-0000-0000-0000540E0000}"/>
    <cellStyle name="Calculation 2 7 5 6 2" xfId="15837" xr:uid="{00000000-0005-0000-0000-0000550E0000}"/>
    <cellStyle name="Calculation 2 7 5 6 2 2" xfId="30669" xr:uid="{00000000-0005-0000-0000-0000560E0000}"/>
    <cellStyle name="Calculation 2 7 5 6 3" xfId="22298" xr:uid="{00000000-0005-0000-0000-0000570E0000}"/>
    <cellStyle name="Calculation 2 7 5 7" xfId="11846" xr:uid="{00000000-0005-0000-0000-0000580E0000}"/>
    <cellStyle name="Calculation 2 7 5 7 2" xfId="26678" xr:uid="{00000000-0005-0000-0000-0000590E0000}"/>
    <cellStyle name="Calculation 2 7 5 8" xfId="9519" xr:uid="{00000000-0005-0000-0000-00005A0E0000}"/>
    <cellStyle name="Calculation 2 7 5 8 2" xfId="19821" xr:uid="{00000000-0005-0000-0000-00005B0E0000}"/>
    <cellStyle name="Calculation 2 7 6" xfId="1721" xr:uid="{00000000-0005-0000-0000-00005C0E0000}"/>
    <cellStyle name="Calculation 2 7 6 2" xfId="3992" xr:uid="{00000000-0005-0000-0000-00005D0E0000}"/>
    <cellStyle name="Calculation 2 7 6 2 2" xfId="8039" xr:uid="{00000000-0005-0000-0000-00005E0E0000}"/>
    <cellStyle name="Calculation 2 7 6 2 2 2" xfId="23826" xr:uid="{00000000-0005-0000-0000-00005F0E0000}"/>
    <cellStyle name="Calculation 2 7 6 2 3" xfId="14325" xr:uid="{00000000-0005-0000-0000-0000600E0000}"/>
    <cellStyle name="Calculation 2 7 6 2 3 2" xfId="29157" xr:uid="{00000000-0005-0000-0000-0000610E0000}"/>
    <cellStyle name="Calculation 2 7 6 2 4" xfId="21465" xr:uid="{00000000-0005-0000-0000-0000620E0000}"/>
    <cellStyle name="Calculation 2 7 6 3" xfId="4714" xr:uid="{00000000-0005-0000-0000-0000630E0000}"/>
    <cellStyle name="Calculation 2 7 6 3 2" xfId="8753" xr:uid="{00000000-0005-0000-0000-0000640E0000}"/>
    <cellStyle name="Calculation 2 7 6 3 2 2" xfId="24283" xr:uid="{00000000-0005-0000-0000-0000650E0000}"/>
    <cellStyle name="Calculation 2 7 6 3 3" xfId="15038" xr:uid="{00000000-0005-0000-0000-0000660E0000}"/>
    <cellStyle name="Calculation 2 7 6 3 3 2" xfId="29870" xr:uid="{00000000-0005-0000-0000-0000670E0000}"/>
    <cellStyle name="Calculation 2 7 6 3 4" xfId="21821" xr:uid="{00000000-0005-0000-0000-0000680E0000}"/>
    <cellStyle name="Calculation 2 7 6 4" xfId="2704" xr:uid="{00000000-0005-0000-0000-0000690E0000}"/>
    <cellStyle name="Calculation 2 7 6 4 2" xfId="6795" xr:uid="{00000000-0005-0000-0000-00006A0E0000}"/>
    <cellStyle name="Calculation 2 7 6 4 2 2" xfId="23034" xr:uid="{00000000-0005-0000-0000-00006B0E0000}"/>
    <cellStyle name="Calculation 2 7 6 4 3" xfId="13042" xr:uid="{00000000-0005-0000-0000-00006C0E0000}"/>
    <cellStyle name="Calculation 2 7 6 4 3 2" xfId="27874" xr:uid="{00000000-0005-0000-0000-00006D0E0000}"/>
    <cellStyle name="Calculation 2 7 6 4 4" xfId="20694" xr:uid="{00000000-0005-0000-0000-00006E0E0000}"/>
    <cellStyle name="Calculation 2 7 6 5" xfId="5853" xr:uid="{00000000-0005-0000-0000-00006F0E0000}"/>
    <cellStyle name="Calculation 2 7 6 5 2" xfId="16045" xr:uid="{00000000-0005-0000-0000-0000700E0000}"/>
    <cellStyle name="Calculation 2 7 6 5 2 2" xfId="30877" xr:uid="{00000000-0005-0000-0000-0000710E0000}"/>
    <cellStyle name="Calculation 2 7 6 5 3" xfId="22450" xr:uid="{00000000-0005-0000-0000-0000720E0000}"/>
    <cellStyle name="Calculation 2 7 6 6" xfId="12115" xr:uid="{00000000-0005-0000-0000-0000730E0000}"/>
    <cellStyle name="Calculation 2 7 6 6 2" xfId="26947" xr:uid="{00000000-0005-0000-0000-0000740E0000}"/>
    <cellStyle name="Calculation 2 7 6 7" xfId="9726" xr:uid="{00000000-0005-0000-0000-0000750E0000}"/>
    <cellStyle name="Calculation 2 7 6 7 2" xfId="20024" xr:uid="{00000000-0005-0000-0000-0000760E0000}"/>
    <cellStyle name="Calculation 2 7 7" xfId="2230" xr:uid="{00000000-0005-0000-0000-0000770E0000}"/>
    <cellStyle name="Calculation 2 7 7 2" xfId="3602" xr:uid="{00000000-0005-0000-0000-0000780E0000}"/>
    <cellStyle name="Calculation 2 7 7 2 2" xfId="7663" xr:uid="{00000000-0005-0000-0000-0000790E0000}"/>
    <cellStyle name="Calculation 2 7 7 2 2 2" xfId="23575" xr:uid="{00000000-0005-0000-0000-00007A0E0000}"/>
    <cellStyle name="Calculation 2 7 7 2 3" xfId="13938" xr:uid="{00000000-0005-0000-0000-00007B0E0000}"/>
    <cellStyle name="Calculation 2 7 7 2 3 2" xfId="28770" xr:uid="{00000000-0005-0000-0000-00007C0E0000}"/>
    <cellStyle name="Calculation 2 7 7 2 4" xfId="21245" xr:uid="{00000000-0005-0000-0000-00007D0E0000}"/>
    <cellStyle name="Calculation 2 7 7 3" xfId="5198" xr:uid="{00000000-0005-0000-0000-00007E0E0000}"/>
    <cellStyle name="Calculation 2 7 7 3 2" xfId="9237" xr:uid="{00000000-0005-0000-0000-00007F0E0000}"/>
    <cellStyle name="Calculation 2 7 7 3 2 2" xfId="24575" xr:uid="{00000000-0005-0000-0000-0000800E0000}"/>
    <cellStyle name="Calculation 2 7 7 3 3" xfId="15516" xr:uid="{00000000-0005-0000-0000-0000810E0000}"/>
    <cellStyle name="Calculation 2 7 7 3 3 2" xfId="30348" xr:uid="{00000000-0005-0000-0000-0000820E0000}"/>
    <cellStyle name="Calculation 2 7 7 3 4" xfId="22082" xr:uid="{00000000-0005-0000-0000-0000830E0000}"/>
    <cellStyle name="Calculation 2 7 7 4" xfId="4228" xr:uid="{00000000-0005-0000-0000-0000840E0000}"/>
    <cellStyle name="Calculation 2 7 7 4 2" xfId="8269" xr:uid="{00000000-0005-0000-0000-0000850E0000}"/>
    <cellStyle name="Calculation 2 7 7 4 2 2" xfId="23964" xr:uid="{00000000-0005-0000-0000-0000860E0000}"/>
    <cellStyle name="Calculation 2 7 7 4 3" xfId="14560" xr:uid="{00000000-0005-0000-0000-0000870E0000}"/>
    <cellStyle name="Calculation 2 7 7 4 3 2" xfId="29392" xr:uid="{00000000-0005-0000-0000-0000880E0000}"/>
    <cellStyle name="Calculation 2 7 7 4 4" xfId="21589" xr:uid="{00000000-0005-0000-0000-0000890E0000}"/>
    <cellStyle name="Calculation 2 7 7 5" xfId="6344" xr:uid="{00000000-0005-0000-0000-00008A0E0000}"/>
    <cellStyle name="Calculation 2 7 7 5 2" xfId="22746" xr:uid="{00000000-0005-0000-0000-00008B0E0000}"/>
    <cellStyle name="Calculation 2 7 7 6" xfId="12598" xr:uid="{00000000-0005-0000-0000-00008C0E0000}"/>
    <cellStyle name="Calculation 2 7 7 6 2" xfId="27430" xr:uid="{00000000-0005-0000-0000-00008D0E0000}"/>
    <cellStyle name="Calculation 2 7 7 7" xfId="20425" xr:uid="{00000000-0005-0000-0000-00008E0E0000}"/>
    <cellStyle name="Calculation 2 7 8" xfId="3979" xr:uid="{00000000-0005-0000-0000-00008F0E0000}"/>
    <cellStyle name="Calculation 2 7 8 2" xfId="8028" xr:uid="{00000000-0005-0000-0000-0000900E0000}"/>
    <cellStyle name="Calculation 2 7 8 2 2" xfId="23818" xr:uid="{00000000-0005-0000-0000-0000910E0000}"/>
    <cellStyle name="Calculation 2 7 8 3" xfId="14312" xr:uid="{00000000-0005-0000-0000-0000920E0000}"/>
    <cellStyle name="Calculation 2 7 8 3 2" xfId="29144" xr:uid="{00000000-0005-0000-0000-0000930E0000}"/>
    <cellStyle name="Calculation 2 7 8 4" xfId="21456" xr:uid="{00000000-0005-0000-0000-0000940E0000}"/>
    <cellStyle name="Calculation 2 7 9" xfId="3341" xr:uid="{00000000-0005-0000-0000-0000950E0000}"/>
    <cellStyle name="Calculation 2 7 9 2" xfId="7404" xr:uid="{00000000-0005-0000-0000-0000960E0000}"/>
    <cellStyle name="Calculation 2 7 9 2 2" xfId="23409" xr:uid="{00000000-0005-0000-0000-0000970E0000}"/>
    <cellStyle name="Calculation 2 7 9 3" xfId="13678" xr:uid="{00000000-0005-0000-0000-0000980E0000}"/>
    <cellStyle name="Calculation 2 7 9 3 2" xfId="28510" xr:uid="{00000000-0005-0000-0000-0000990E0000}"/>
    <cellStyle name="Calculation 2 7 9 4" xfId="21096" xr:uid="{00000000-0005-0000-0000-00009A0E0000}"/>
    <cellStyle name="Calculation 2 8" xfId="969" xr:uid="{00000000-0005-0000-0000-00009B0E0000}"/>
    <cellStyle name="Calculation 2 8 10" xfId="2275" xr:uid="{00000000-0005-0000-0000-00009C0E0000}"/>
    <cellStyle name="Calculation 2 8 10 2" xfId="6387" xr:uid="{00000000-0005-0000-0000-00009D0E0000}"/>
    <cellStyle name="Calculation 2 8 10 2 2" xfId="22789" xr:uid="{00000000-0005-0000-0000-00009E0E0000}"/>
    <cellStyle name="Calculation 2 8 10 3" xfId="12615" xr:uid="{00000000-0005-0000-0000-00009F0E0000}"/>
    <cellStyle name="Calculation 2 8 10 3 2" xfId="27447" xr:uid="{00000000-0005-0000-0000-0000A00E0000}"/>
    <cellStyle name="Calculation 2 8 10 4" xfId="20441" xr:uid="{00000000-0005-0000-0000-0000A10E0000}"/>
    <cellStyle name="Calculation 2 8 11" xfId="5241" xr:uid="{00000000-0005-0000-0000-0000A20E0000}"/>
    <cellStyle name="Calculation 2 8 11 2" xfId="15557" xr:uid="{00000000-0005-0000-0000-0000A30E0000}"/>
    <cellStyle name="Calculation 2 8 11 2 2" xfId="30389" xr:uid="{00000000-0005-0000-0000-0000A40E0000}"/>
    <cellStyle name="Calculation 2 8 11 3" xfId="22098" xr:uid="{00000000-0005-0000-0000-0000A50E0000}"/>
    <cellStyle name="Calculation 2 8 12" xfId="5399" xr:uid="{00000000-0005-0000-0000-0000A60E0000}"/>
    <cellStyle name="Calculation 2 8 12 2" xfId="15635" xr:uid="{00000000-0005-0000-0000-0000A70E0000}"/>
    <cellStyle name="Calculation 2 8 12 2 2" xfId="30467" xr:uid="{00000000-0005-0000-0000-0000A80E0000}"/>
    <cellStyle name="Calculation 2 8 12 3" xfId="22160" xr:uid="{00000000-0005-0000-0000-0000A90E0000}"/>
    <cellStyle name="Calculation 2 8 13" xfId="9392" xr:uid="{00000000-0005-0000-0000-0000AA0E0000}"/>
    <cellStyle name="Calculation 2 8 13 2" xfId="24698" xr:uid="{00000000-0005-0000-0000-0000AB0E0000}"/>
    <cellStyle name="Calculation 2 8 14" xfId="6742" xr:uid="{00000000-0005-0000-0000-0000AC0E0000}"/>
    <cellStyle name="Calculation 2 8 14 2" xfId="18738" xr:uid="{00000000-0005-0000-0000-0000AD0E0000}"/>
    <cellStyle name="Calculation 2 8 2" xfId="1311" xr:uid="{00000000-0005-0000-0000-0000AE0E0000}"/>
    <cellStyle name="Calculation 2 8 2 2" xfId="1815" xr:uid="{00000000-0005-0000-0000-0000AF0E0000}"/>
    <cellStyle name="Calculation 2 8 2 2 2" xfId="3950" xr:uid="{00000000-0005-0000-0000-0000B00E0000}"/>
    <cellStyle name="Calculation 2 8 2 2 2 2" xfId="8000" xr:uid="{00000000-0005-0000-0000-0000B10E0000}"/>
    <cellStyle name="Calculation 2 8 2 2 2 2 2" xfId="23800" xr:uid="{00000000-0005-0000-0000-0000B20E0000}"/>
    <cellStyle name="Calculation 2 8 2 2 2 3" xfId="14283" xr:uid="{00000000-0005-0000-0000-0000B30E0000}"/>
    <cellStyle name="Calculation 2 8 2 2 2 3 2" xfId="29115" xr:uid="{00000000-0005-0000-0000-0000B40E0000}"/>
    <cellStyle name="Calculation 2 8 2 2 2 4" xfId="21442" xr:uid="{00000000-0005-0000-0000-0000B50E0000}"/>
    <cellStyle name="Calculation 2 8 2 2 3" xfId="4793" xr:uid="{00000000-0005-0000-0000-0000B60E0000}"/>
    <cellStyle name="Calculation 2 8 2 2 3 2" xfId="8832" xr:uid="{00000000-0005-0000-0000-0000B70E0000}"/>
    <cellStyle name="Calculation 2 8 2 2 3 2 2" xfId="24330" xr:uid="{00000000-0005-0000-0000-0000B80E0000}"/>
    <cellStyle name="Calculation 2 8 2 2 3 3" xfId="15117" xr:uid="{00000000-0005-0000-0000-0000B90E0000}"/>
    <cellStyle name="Calculation 2 8 2 2 3 3 2" xfId="29949" xr:uid="{00000000-0005-0000-0000-0000BA0E0000}"/>
    <cellStyle name="Calculation 2 8 2 2 3 4" xfId="21868" xr:uid="{00000000-0005-0000-0000-0000BB0E0000}"/>
    <cellStyle name="Calculation 2 8 2 2 4" xfId="2783" xr:uid="{00000000-0005-0000-0000-0000BC0E0000}"/>
    <cellStyle name="Calculation 2 8 2 2 4 2" xfId="6874" xr:uid="{00000000-0005-0000-0000-0000BD0E0000}"/>
    <cellStyle name="Calculation 2 8 2 2 4 2 2" xfId="23081" xr:uid="{00000000-0005-0000-0000-0000BE0E0000}"/>
    <cellStyle name="Calculation 2 8 2 2 4 3" xfId="13121" xr:uid="{00000000-0005-0000-0000-0000BF0E0000}"/>
    <cellStyle name="Calculation 2 8 2 2 4 3 2" xfId="27953" xr:uid="{00000000-0005-0000-0000-0000C00E0000}"/>
    <cellStyle name="Calculation 2 8 2 2 4 4" xfId="20741" xr:uid="{00000000-0005-0000-0000-0000C10E0000}"/>
    <cellStyle name="Calculation 2 8 2 2 5" xfId="5947" xr:uid="{00000000-0005-0000-0000-0000C20E0000}"/>
    <cellStyle name="Calculation 2 8 2 2 5 2" xfId="16139" xr:uid="{00000000-0005-0000-0000-0000C30E0000}"/>
    <cellStyle name="Calculation 2 8 2 2 5 2 2" xfId="30971" xr:uid="{00000000-0005-0000-0000-0000C40E0000}"/>
    <cellStyle name="Calculation 2 8 2 2 5 3" xfId="22512" xr:uid="{00000000-0005-0000-0000-0000C50E0000}"/>
    <cellStyle name="Calculation 2 8 2 2 6" xfId="12209" xr:uid="{00000000-0005-0000-0000-0000C60E0000}"/>
    <cellStyle name="Calculation 2 8 2 2 6 2" xfId="27041" xr:uid="{00000000-0005-0000-0000-0000C70E0000}"/>
    <cellStyle name="Calculation 2 8 2 2 7" xfId="9805" xr:uid="{00000000-0005-0000-0000-0000C80E0000}"/>
    <cellStyle name="Calculation 2 8 2 2 7 2" xfId="20056" xr:uid="{00000000-0005-0000-0000-0000C90E0000}"/>
    <cellStyle name="Calculation 2 8 2 3" xfId="3152" xr:uid="{00000000-0005-0000-0000-0000CA0E0000}"/>
    <cellStyle name="Calculation 2 8 2 3 2" xfId="7216" xr:uid="{00000000-0005-0000-0000-0000CB0E0000}"/>
    <cellStyle name="Calculation 2 8 2 3 2 2" xfId="23284" xr:uid="{00000000-0005-0000-0000-0000CC0E0000}"/>
    <cellStyle name="Calculation 2 8 2 3 3" xfId="13490" xr:uid="{00000000-0005-0000-0000-0000CD0E0000}"/>
    <cellStyle name="Calculation 2 8 2 3 3 2" xfId="28322" xr:uid="{00000000-0005-0000-0000-0000CE0E0000}"/>
    <cellStyle name="Calculation 2 8 2 3 4" xfId="20975" xr:uid="{00000000-0005-0000-0000-0000CF0E0000}"/>
    <cellStyle name="Calculation 2 8 2 4" xfId="4373" xr:uid="{00000000-0005-0000-0000-0000D00E0000}"/>
    <cellStyle name="Calculation 2 8 2 4 2" xfId="8412" xr:uid="{00000000-0005-0000-0000-0000D10E0000}"/>
    <cellStyle name="Calculation 2 8 2 4 2 2" xfId="24070" xr:uid="{00000000-0005-0000-0000-0000D20E0000}"/>
    <cellStyle name="Calculation 2 8 2 4 3" xfId="14702" xr:uid="{00000000-0005-0000-0000-0000D30E0000}"/>
    <cellStyle name="Calculation 2 8 2 4 3 2" xfId="29534" xr:uid="{00000000-0005-0000-0000-0000D40E0000}"/>
    <cellStyle name="Calculation 2 8 2 4 4" xfId="21638" xr:uid="{00000000-0005-0000-0000-0000D50E0000}"/>
    <cellStyle name="Calculation 2 8 2 5" xfId="2363" xr:uid="{00000000-0005-0000-0000-0000D60E0000}"/>
    <cellStyle name="Calculation 2 8 2 5 2" xfId="6475" xr:uid="{00000000-0005-0000-0000-0000D70E0000}"/>
    <cellStyle name="Calculation 2 8 2 5 2 2" xfId="22845" xr:uid="{00000000-0005-0000-0000-0000D80E0000}"/>
    <cellStyle name="Calculation 2 8 2 5 3" xfId="12702" xr:uid="{00000000-0005-0000-0000-0000D90E0000}"/>
    <cellStyle name="Calculation 2 8 2 5 3 2" xfId="27534" xr:uid="{00000000-0005-0000-0000-0000DA0E0000}"/>
    <cellStyle name="Calculation 2 8 2 5 4" xfId="20487" xr:uid="{00000000-0005-0000-0000-0000DB0E0000}"/>
    <cellStyle name="Calculation 2 8 2 6" xfId="5488" xr:uid="{00000000-0005-0000-0000-0000DC0E0000}"/>
    <cellStyle name="Calculation 2 8 2 6 2" xfId="15723" xr:uid="{00000000-0005-0000-0000-0000DD0E0000}"/>
    <cellStyle name="Calculation 2 8 2 6 2 2" xfId="30555" xr:uid="{00000000-0005-0000-0000-0000DE0E0000}"/>
    <cellStyle name="Calculation 2 8 2 6 3" xfId="22216" xr:uid="{00000000-0005-0000-0000-0000DF0E0000}"/>
    <cellStyle name="Calculation 2 8 2 7" xfId="11738" xr:uid="{00000000-0005-0000-0000-0000E00E0000}"/>
    <cellStyle name="Calculation 2 8 2 7 2" xfId="26570" xr:uid="{00000000-0005-0000-0000-0000E10E0000}"/>
    <cellStyle name="Calculation 2 8 2 8" xfId="9409" xr:uid="{00000000-0005-0000-0000-0000E20E0000}"/>
    <cellStyle name="Calculation 2 8 2 8 2" xfId="19713" xr:uid="{00000000-0005-0000-0000-0000E30E0000}"/>
    <cellStyle name="Calculation 2 8 3" xfId="1445" xr:uid="{00000000-0005-0000-0000-0000E40E0000}"/>
    <cellStyle name="Calculation 2 8 3 2" xfId="1946" xr:uid="{00000000-0005-0000-0000-0000E50E0000}"/>
    <cellStyle name="Calculation 2 8 3 2 2" xfId="3710" xr:uid="{00000000-0005-0000-0000-0000E60E0000}"/>
    <cellStyle name="Calculation 2 8 3 2 2 2" xfId="7766" xr:uid="{00000000-0005-0000-0000-0000E70E0000}"/>
    <cellStyle name="Calculation 2 8 3 2 2 2 2" xfId="23648" xr:uid="{00000000-0005-0000-0000-0000E80E0000}"/>
    <cellStyle name="Calculation 2 8 3 2 2 3" xfId="14045" xr:uid="{00000000-0005-0000-0000-0000E90E0000}"/>
    <cellStyle name="Calculation 2 8 3 2 2 3 2" xfId="28877" xr:uid="{00000000-0005-0000-0000-0000EA0E0000}"/>
    <cellStyle name="Calculation 2 8 3 2 2 4" xfId="21308" xr:uid="{00000000-0005-0000-0000-0000EB0E0000}"/>
    <cellStyle name="Calculation 2 8 3 2 3" xfId="4925" xr:uid="{00000000-0005-0000-0000-0000EC0E0000}"/>
    <cellStyle name="Calculation 2 8 3 2 3 2" xfId="8964" xr:uid="{00000000-0005-0000-0000-0000ED0E0000}"/>
    <cellStyle name="Calculation 2 8 3 2 3 2 2" xfId="24430" xr:uid="{00000000-0005-0000-0000-0000EE0E0000}"/>
    <cellStyle name="Calculation 2 8 3 2 3 3" xfId="15247" xr:uid="{00000000-0005-0000-0000-0000EF0E0000}"/>
    <cellStyle name="Calculation 2 8 3 2 3 3 2" xfId="30079" xr:uid="{00000000-0005-0000-0000-0000F00E0000}"/>
    <cellStyle name="Calculation 2 8 3 2 3 4" xfId="21960" xr:uid="{00000000-0005-0000-0000-0000F10E0000}"/>
    <cellStyle name="Calculation 2 8 3 2 4" xfId="2915" xr:uid="{00000000-0005-0000-0000-0000F20E0000}"/>
    <cellStyle name="Calculation 2 8 3 2 4 2" xfId="6999" xr:uid="{00000000-0005-0000-0000-0000F30E0000}"/>
    <cellStyle name="Calculation 2 8 3 2 4 2 2" xfId="23173" xr:uid="{00000000-0005-0000-0000-0000F40E0000}"/>
    <cellStyle name="Calculation 2 8 3 2 4 3" xfId="13253" xr:uid="{00000000-0005-0000-0000-0000F50E0000}"/>
    <cellStyle name="Calculation 2 8 3 2 4 3 2" xfId="28085" xr:uid="{00000000-0005-0000-0000-0000F60E0000}"/>
    <cellStyle name="Calculation 2 8 3 2 4 4" xfId="20841" xr:uid="{00000000-0005-0000-0000-0000F70E0000}"/>
    <cellStyle name="Calculation 2 8 3 2 5" xfId="6076" xr:uid="{00000000-0005-0000-0000-0000F80E0000}"/>
    <cellStyle name="Calculation 2 8 3 2 5 2" xfId="16263" xr:uid="{00000000-0005-0000-0000-0000F90E0000}"/>
    <cellStyle name="Calculation 2 8 3 2 5 2 2" xfId="31095" xr:uid="{00000000-0005-0000-0000-0000FA0E0000}"/>
    <cellStyle name="Calculation 2 8 3 2 5 3" xfId="22609" xr:uid="{00000000-0005-0000-0000-0000FB0E0000}"/>
    <cellStyle name="Calculation 2 8 3 2 6" xfId="12333" xr:uid="{00000000-0005-0000-0000-0000FC0E0000}"/>
    <cellStyle name="Calculation 2 8 3 2 6 2" xfId="27165" xr:uid="{00000000-0005-0000-0000-0000FD0E0000}"/>
    <cellStyle name="Calculation 2 8 3 2 7" xfId="9930" xr:uid="{00000000-0005-0000-0000-0000FE0E0000}"/>
    <cellStyle name="Calculation 2 8 3 2 7 2" xfId="20132" xr:uid="{00000000-0005-0000-0000-0000FF0E0000}"/>
    <cellStyle name="Calculation 2 8 3 3" xfId="4044" xr:uid="{00000000-0005-0000-0000-0000000F0000}"/>
    <cellStyle name="Calculation 2 8 3 3 2" xfId="8091" xr:uid="{00000000-0005-0000-0000-0000010F0000}"/>
    <cellStyle name="Calculation 2 8 3 3 2 2" xfId="23856" xr:uid="{00000000-0005-0000-0000-0000020F0000}"/>
    <cellStyle name="Calculation 2 8 3 3 3" xfId="14376" xr:uid="{00000000-0005-0000-0000-0000030F0000}"/>
    <cellStyle name="Calculation 2 8 3 3 3 2" xfId="29208" xr:uid="{00000000-0005-0000-0000-0000040F0000}"/>
    <cellStyle name="Calculation 2 8 3 3 4" xfId="21490" xr:uid="{00000000-0005-0000-0000-0000050F0000}"/>
    <cellStyle name="Calculation 2 8 3 4" xfId="4505" xr:uid="{00000000-0005-0000-0000-0000060F0000}"/>
    <cellStyle name="Calculation 2 8 3 4 2" xfId="8544" xr:uid="{00000000-0005-0000-0000-0000070F0000}"/>
    <cellStyle name="Calculation 2 8 3 4 2 2" xfId="24170" xr:uid="{00000000-0005-0000-0000-0000080F0000}"/>
    <cellStyle name="Calculation 2 8 3 4 3" xfId="14832" xr:uid="{00000000-0005-0000-0000-0000090F0000}"/>
    <cellStyle name="Calculation 2 8 3 4 3 2" xfId="29664" xr:uid="{00000000-0005-0000-0000-00000A0F0000}"/>
    <cellStyle name="Calculation 2 8 3 4 4" xfId="21730" xr:uid="{00000000-0005-0000-0000-00000B0F0000}"/>
    <cellStyle name="Calculation 2 8 3 5" xfId="2495" xr:uid="{00000000-0005-0000-0000-00000C0F0000}"/>
    <cellStyle name="Calculation 2 8 3 5 2" xfId="6601" xr:uid="{00000000-0005-0000-0000-00000D0F0000}"/>
    <cellStyle name="Calculation 2 8 3 5 2 2" xfId="22939" xr:uid="{00000000-0005-0000-0000-00000E0F0000}"/>
    <cellStyle name="Calculation 2 8 3 5 3" xfId="12833" xr:uid="{00000000-0005-0000-0000-00000F0F0000}"/>
    <cellStyle name="Calculation 2 8 3 5 3 2" xfId="27665" xr:uid="{00000000-0005-0000-0000-0000100F0000}"/>
    <cellStyle name="Calculation 2 8 3 5 4" xfId="20585" xr:uid="{00000000-0005-0000-0000-0000110F0000}"/>
    <cellStyle name="Calculation 2 8 3 6" xfId="5618" xr:uid="{00000000-0005-0000-0000-0000120F0000}"/>
    <cellStyle name="Calculation 2 8 3 6 2" xfId="15853" xr:uid="{00000000-0005-0000-0000-0000130F0000}"/>
    <cellStyle name="Calculation 2 8 3 6 2 2" xfId="30685" xr:uid="{00000000-0005-0000-0000-0000140F0000}"/>
    <cellStyle name="Calculation 2 8 3 6 3" xfId="22314" xr:uid="{00000000-0005-0000-0000-0000150F0000}"/>
    <cellStyle name="Calculation 2 8 3 7" xfId="11862" xr:uid="{00000000-0005-0000-0000-0000160F0000}"/>
    <cellStyle name="Calculation 2 8 3 7 2" xfId="26694" xr:uid="{00000000-0005-0000-0000-0000170F0000}"/>
    <cellStyle name="Calculation 2 8 3 8" xfId="9535" xr:uid="{00000000-0005-0000-0000-0000180F0000}"/>
    <cellStyle name="Calculation 2 8 3 8 2" xfId="19837" xr:uid="{00000000-0005-0000-0000-0000190F0000}"/>
    <cellStyle name="Calculation 2 8 4" xfId="1410" xr:uid="{00000000-0005-0000-0000-00001A0F0000}"/>
    <cellStyle name="Calculation 2 8 4 2" xfId="1912" xr:uid="{00000000-0005-0000-0000-00001B0F0000}"/>
    <cellStyle name="Calculation 2 8 4 2 2" xfId="4109" xr:uid="{00000000-0005-0000-0000-00001C0F0000}"/>
    <cellStyle name="Calculation 2 8 4 2 2 2" xfId="8155" xr:uid="{00000000-0005-0000-0000-00001D0F0000}"/>
    <cellStyle name="Calculation 2 8 4 2 2 2 2" xfId="23895" xr:uid="{00000000-0005-0000-0000-00001E0F0000}"/>
    <cellStyle name="Calculation 2 8 4 2 2 3" xfId="14441" xr:uid="{00000000-0005-0000-0000-00001F0F0000}"/>
    <cellStyle name="Calculation 2 8 4 2 2 3 2" xfId="29273" xr:uid="{00000000-0005-0000-0000-0000200F0000}"/>
    <cellStyle name="Calculation 2 8 4 2 2 4" xfId="21525" xr:uid="{00000000-0005-0000-0000-0000210F0000}"/>
    <cellStyle name="Calculation 2 8 4 2 3" xfId="4890" xr:uid="{00000000-0005-0000-0000-0000220F0000}"/>
    <cellStyle name="Calculation 2 8 4 2 3 2" xfId="8929" xr:uid="{00000000-0005-0000-0000-0000230F0000}"/>
    <cellStyle name="Calculation 2 8 4 2 3 2 2" xfId="24395" xr:uid="{00000000-0005-0000-0000-0000240F0000}"/>
    <cellStyle name="Calculation 2 8 4 2 3 3" xfId="15213" xr:uid="{00000000-0005-0000-0000-0000250F0000}"/>
    <cellStyle name="Calculation 2 8 4 2 3 3 2" xfId="30045" xr:uid="{00000000-0005-0000-0000-0000260F0000}"/>
    <cellStyle name="Calculation 2 8 4 2 3 4" xfId="21927" xr:uid="{00000000-0005-0000-0000-0000270F0000}"/>
    <cellStyle name="Calculation 2 8 4 2 4" xfId="2880" xr:uid="{00000000-0005-0000-0000-0000280F0000}"/>
    <cellStyle name="Calculation 2 8 4 2 4 2" xfId="6965" xr:uid="{00000000-0005-0000-0000-0000290F0000}"/>
    <cellStyle name="Calculation 2 8 4 2 4 2 2" xfId="23140" xr:uid="{00000000-0005-0000-0000-00002A0F0000}"/>
    <cellStyle name="Calculation 2 8 4 2 4 3" xfId="13218" xr:uid="{00000000-0005-0000-0000-00002B0F0000}"/>
    <cellStyle name="Calculation 2 8 4 2 4 3 2" xfId="28050" xr:uid="{00000000-0005-0000-0000-00002C0F0000}"/>
    <cellStyle name="Calculation 2 8 4 2 4 4" xfId="20806" xr:uid="{00000000-0005-0000-0000-00002D0F0000}"/>
    <cellStyle name="Calculation 2 8 4 2 5" xfId="6043" xr:uid="{00000000-0005-0000-0000-00002E0F0000}"/>
    <cellStyle name="Calculation 2 8 4 2 5 2" xfId="16230" xr:uid="{00000000-0005-0000-0000-00002F0F0000}"/>
    <cellStyle name="Calculation 2 8 4 2 5 2 2" xfId="31062" xr:uid="{00000000-0005-0000-0000-0000300F0000}"/>
    <cellStyle name="Calculation 2 8 4 2 5 3" xfId="22576" xr:uid="{00000000-0005-0000-0000-0000310F0000}"/>
    <cellStyle name="Calculation 2 8 4 2 6" xfId="12300" xr:uid="{00000000-0005-0000-0000-0000320F0000}"/>
    <cellStyle name="Calculation 2 8 4 2 6 2" xfId="27132" xr:uid="{00000000-0005-0000-0000-0000330F0000}"/>
    <cellStyle name="Calculation 2 8 4 2 7" xfId="9896" xr:uid="{00000000-0005-0000-0000-0000340F0000}"/>
    <cellStyle name="Calculation 2 8 4 2 7 2" xfId="20099" xr:uid="{00000000-0005-0000-0000-0000350F0000}"/>
    <cellStyle name="Calculation 2 8 4 3" xfId="3163" xr:uid="{00000000-0005-0000-0000-0000360F0000}"/>
    <cellStyle name="Calculation 2 8 4 3 2" xfId="7227" xr:uid="{00000000-0005-0000-0000-0000370F0000}"/>
    <cellStyle name="Calculation 2 8 4 3 2 2" xfId="23290" xr:uid="{00000000-0005-0000-0000-0000380F0000}"/>
    <cellStyle name="Calculation 2 8 4 3 3" xfId="13501" xr:uid="{00000000-0005-0000-0000-0000390F0000}"/>
    <cellStyle name="Calculation 2 8 4 3 3 2" xfId="28333" xr:uid="{00000000-0005-0000-0000-00003A0F0000}"/>
    <cellStyle name="Calculation 2 8 4 3 4" xfId="20981" xr:uid="{00000000-0005-0000-0000-00003B0F0000}"/>
    <cellStyle name="Calculation 2 8 4 4" xfId="4470" xr:uid="{00000000-0005-0000-0000-00003C0F0000}"/>
    <cellStyle name="Calculation 2 8 4 4 2" xfId="8509" xr:uid="{00000000-0005-0000-0000-00003D0F0000}"/>
    <cellStyle name="Calculation 2 8 4 4 2 2" xfId="24135" xr:uid="{00000000-0005-0000-0000-00003E0F0000}"/>
    <cellStyle name="Calculation 2 8 4 4 3" xfId="14798" xr:uid="{00000000-0005-0000-0000-00003F0F0000}"/>
    <cellStyle name="Calculation 2 8 4 4 3 2" xfId="29630" xr:uid="{00000000-0005-0000-0000-0000400F0000}"/>
    <cellStyle name="Calculation 2 8 4 4 4" xfId="21697" xr:uid="{00000000-0005-0000-0000-0000410F0000}"/>
    <cellStyle name="Calculation 2 8 4 5" xfId="2460" xr:uid="{00000000-0005-0000-0000-0000420F0000}"/>
    <cellStyle name="Calculation 2 8 4 5 2" xfId="6566" xr:uid="{00000000-0005-0000-0000-0000430F0000}"/>
    <cellStyle name="Calculation 2 8 4 5 2 2" xfId="22904" xr:uid="{00000000-0005-0000-0000-0000440F0000}"/>
    <cellStyle name="Calculation 2 8 4 5 3" xfId="12799" xr:uid="{00000000-0005-0000-0000-0000450F0000}"/>
    <cellStyle name="Calculation 2 8 4 5 3 2" xfId="27631" xr:uid="{00000000-0005-0000-0000-0000460F0000}"/>
    <cellStyle name="Calculation 2 8 4 5 4" xfId="20552" xr:uid="{00000000-0005-0000-0000-0000470F0000}"/>
    <cellStyle name="Calculation 2 8 4 6" xfId="5584" xr:uid="{00000000-0005-0000-0000-0000480F0000}"/>
    <cellStyle name="Calculation 2 8 4 6 2" xfId="15819" xr:uid="{00000000-0005-0000-0000-0000490F0000}"/>
    <cellStyle name="Calculation 2 8 4 6 2 2" xfId="30651" xr:uid="{00000000-0005-0000-0000-00004A0F0000}"/>
    <cellStyle name="Calculation 2 8 4 6 3" xfId="22280" xr:uid="{00000000-0005-0000-0000-00004B0F0000}"/>
    <cellStyle name="Calculation 2 8 4 7" xfId="11829" xr:uid="{00000000-0005-0000-0000-00004C0F0000}"/>
    <cellStyle name="Calculation 2 8 4 7 2" xfId="26661" xr:uid="{00000000-0005-0000-0000-00004D0F0000}"/>
    <cellStyle name="Calculation 2 8 4 8" xfId="9501" xr:uid="{00000000-0005-0000-0000-00004E0F0000}"/>
    <cellStyle name="Calculation 2 8 4 8 2" xfId="19804" xr:uid="{00000000-0005-0000-0000-00004F0F0000}"/>
    <cellStyle name="Calculation 2 8 5" xfId="1430" xr:uid="{00000000-0005-0000-0000-0000500F0000}"/>
    <cellStyle name="Calculation 2 8 5 2" xfId="1931" xr:uid="{00000000-0005-0000-0000-0000510F0000}"/>
    <cellStyle name="Calculation 2 8 5 2 2" xfId="4065" xr:uid="{00000000-0005-0000-0000-0000520F0000}"/>
    <cellStyle name="Calculation 2 8 5 2 2 2" xfId="8112" xr:uid="{00000000-0005-0000-0000-0000530F0000}"/>
    <cellStyle name="Calculation 2 8 5 2 2 2 2" xfId="23869" xr:uid="{00000000-0005-0000-0000-0000540F0000}"/>
    <cellStyle name="Calculation 2 8 5 2 2 3" xfId="14397" xr:uid="{00000000-0005-0000-0000-0000550F0000}"/>
    <cellStyle name="Calculation 2 8 5 2 2 3 2" xfId="29229" xr:uid="{00000000-0005-0000-0000-0000560F0000}"/>
    <cellStyle name="Calculation 2 8 5 2 2 4" xfId="21503" xr:uid="{00000000-0005-0000-0000-0000570F0000}"/>
    <cellStyle name="Calculation 2 8 5 2 3" xfId="4910" xr:uid="{00000000-0005-0000-0000-0000580F0000}"/>
    <cellStyle name="Calculation 2 8 5 2 3 2" xfId="8949" xr:uid="{00000000-0005-0000-0000-0000590F0000}"/>
    <cellStyle name="Calculation 2 8 5 2 3 2 2" xfId="24415" xr:uid="{00000000-0005-0000-0000-00005A0F0000}"/>
    <cellStyle name="Calculation 2 8 5 2 3 3" xfId="15232" xr:uid="{00000000-0005-0000-0000-00005B0F0000}"/>
    <cellStyle name="Calculation 2 8 5 2 3 3 2" xfId="30064" xr:uid="{00000000-0005-0000-0000-00005C0F0000}"/>
    <cellStyle name="Calculation 2 8 5 2 3 4" xfId="21945" xr:uid="{00000000-0005-0000-0000-00005D0F0000}"/>
    <cellStyle name="Calculation 2 8 5 2 4" xfId="2900" xr:uid="{00000000-0005-0000-0000-00005E0F0000}"/>
    <cellStyle name="Calculation 2 8 5 2 4 2" xfId="6984" xr:uid="{00000000-0005-0000-0000-00005F0F0000}"/>
    <cellStyle name="Calculation 2 8 5 2 4 2 2" xfId="23158" xr:uid="{00000000-0005-0000-0000-0000600F0000}"/>
    <cellStyle name="Calculation 2 8 5 2 4 3" xfId="13238" xr:uid="{00000000-0005-0000-0000-0000610F0000}"/>
    <cellStyle name="Calculation 2 8 5 2 4 3 2" xfId="28070" xr:uid="{00000000-0005-0000-0000-0000620F0000}"/>
    <cellStyle name="Calculation 2 8 5 2 4 4" xfId="20826" xr:uid="{00000000-0005-0000-0000-0000630F0000}"/>
    <cellStyle name="Calculation 2 8 5 2 5" xfId="6061" xr:uid="{00000000-0005-0000-0000-0000640F0000}"/>
    <cellStyle name="Calculation 2 8 5 2 5 2" xfId="16248" xr:uid="{00000000-0005-0000-0000-0000650F0000}"/>
    <cellStyle name="Calculation 2 8 5 2 5 2 2" xfId="31080" xr:uid="{00000000-0005-0000-0000-0000660F0000}"/>
    <cellStyle name="Calculation 2 8 5 2 5 3" xfId="22594" xr:uid="{00000000-0005-0000-0000-0000670F0000}"/>
    <cellStyle name="Calculation 2 8 5 2 6" xfId="12318" xr:uid="{00000000-0005-0000-0000-0000680F0000}"/>
    <cellStyle name="Calculation 2 8 5 2 6 2" xfId="27150" xr:uid="{00000000-0005-0000-0000-0000690F0000}"/>
    <cellStyle name="Calculation 2 8 5 2 7" xfId="9915" xr:uid="{00000000-0005-0000-0000-00006A0F0000}"/>
    <cellStyle name="Calculation 2 8 5 2 7 2" xfId="20117" xr:uid="{00000000-0005-0000-0000-00006B0F0000}"/>
    <cellStyle name="Calculation 2 8 5 3" xfId="4081" xr:uid="{00000000-0005-0000-0000-00006C0F0000}"/>
    <cellStyle name="Calculation 2 8 5 3 2" xfId="8127" xr:uid="{00000000-0005-0000-0000-00006D0F0000}"/>
    <cellStyle name="Calculation 2 8 5 3 2 2" xfId="23878" xr:uid="{00000000-0005-0000-0000-00006E0F0000}"/>
    <cellStyle name="Calculation 2 8 5 3 3" xfId="14413" xr:uid="{00000000-0005-0000-0000-00006F0F0000}"/>
    <cellStyle name="Calculation 2 8 5 3 3 2" xfId="29245" xr:uid="{00000000-0005-0000-0000-0000700F0000}"/>
    <cellStyle name="Calculation 2 8 5 3 4" xfId="21508" xr:uid="{00000000-0005-0000-0000-0000710F0000}"/>
    <cellStyle name="Calculation 2 8 5 4" xfId="4490" xr:uid="{00000000-0005-0000-0000-0000720F0000}"/>
    <cellStyle name="Calculation 2 8 5 4 2" xfId="8529" xr:uid="{00000000-0005-0000-0000-0000730F0000}"/>
    <cellStyle name="Calculation 2 8 5 4 2 2" xfId="24155" xr:uid="{00000000-0005-0000-0000-0000740F0000}"/>
    <cellStyle name="Calculation 2 8 5 4 3" xfId="14817" xr:uid="{00000000-0005-0000-0000-0000750F0000}"/>
    <cellStyle name="Calculation 2 8 5 4 3 2" xfId="29649" xr:uid="{00000000-0005-0000-0000-0000760F0000}"/>
    <cellStyle name="Calculation 2 8 5 4 4" xfId="21715" xr:uid="{00000000-0005-0000-0000-0000770F0000}"/>
    <cellStyle name="Calculation 2 8 5 5" xfId="2480" xr:uid="{00000000-0005-0000-0000-0000780F0000}"/>
    <cellStyle name="Calculation 2 8 5 5 2" xfId="6586" xr:uid="{00000000-0005-0000-0000-0000790F0000}"/>
    <cellStyle name="Calculation 2 8 5 5 2 2" xfId="22924" xr:uid="{00000000-0005-0000-0000-00007A0F0000}"/>
    <cellStyle name="Calculation 2 8 5 5 3" xfId="12818" xr:uid="{00000000-0005-0000-0000-00007B0F0000}"/>
    <cellStyle name="Calculation 2 8 5 5 3 2" xfId="27650" xr:uid="{00000000-0005-0000-0000-00007C0F0000}"/>
    <cellStyle name="Calculation 2 8 5 5 4" xfId="20570" xr:uid="{00000000-0005-0000-0000-00007D0F0000}"/>
    <cellStyle name="Calculation 2 8 5 6" xfId="5603" xr:uid="{00000000-0005-0000-0000-00007E0F0000}"/>
    <cellStyle name="Calculation 2 8 5 6 2" xfId="15838" xr:uid="{00000000-0005-0000-0000-00007F0F0000}"/>
    <cellStyle name="Calculation 2 8 5 6 2 2" xfId="30670" xr:uid="{00000000-0005-0000-0000-0000800F0000}"/>
    <cellStyle name="Calculation 2 8 5 6 3" xfId="22299" xr:uid="{00000000-0005-0000-0000-0000810F0000}"/>
    <cellStyle name="Calculation 2 8 5 7" xfId="11847" xr:uid="{00000000-0005-0000-0000-0000820F0000}"/>
    <cellStyle name="Calculation 2 8 5 7 2" xfId="26679" xr:uid="{00000000-0005-0000-0000-0000830F0000}"/>
    <cellStyle name="Calculation 2 8 5 8" xfId="9520" xr:uid="{00000000-0005-0000-0000-0000840F0000}"/>
    <cellStyle name="Calculation 2 8 5 8 2" xfId="19822" xr:uid="{00000000-0005-0000-0000-0000850F0000}"/>
    <cellStyle name="Calculation 2 8 6" xfId="1722" xr:uid="{00000000-0005-0000-0000-0000860F0000}"/>
    <cellStyle name="Calculation 2 8 6 2" xfId="3707" xr:uid="{00000000-0005-0000-0000-0000870F0000}"/>
    <cellStyle name="Calculation 2 8 6 2 2" xfId="7763" xr:uid="{00000000-0005-0000-0000-0000880F0000}"/>
    <cellStyle name="Calculation 2 8 6 2 2 2" xfId="23645" xr:uid="{00000000-0005-0000-0000-0000890F0000}"/>
    <cellStyle name="Calculation 2 8 6 2 3" xfId="14042" xr:uid="{00000000-0005-0000-0000-00008A0F0000}"/>
    <cellStyle name="Calculation 2 8 6 2 3 2" xfId="28874" xr:uid="{00000000-0005-0000-0000-00008B0F0000}"/>
    <cellStyle name="Calculation 2 8 6 2 4" xfId="21305" xr:uid="{00000000-0005-0000-0000-00008C0F0000}"/>
    <cellStyle name="Calculation 2 8 6 3" xfId="4715" xr:uid="{00000000-0005-0000-0000-00008D0F0000}"/>
    <cellStyle name="Calculation 2 8 6 3 2" xfId="8754" xr:uid="{00000000-0005-0000-0000-00008E0F0000}"/>
    <cellStyle name="Calculation 2 8 6 3 2 2" xfId="24284" xr:uid="{00000000-0005-0000-0000-00008F0F0000}"/>
    <cellStyle name="Calculation 2 8 6 3 3" xfId="15039" xr:uid="{00000000-0005-0000-0000-0000900F0000}"/>
    <cellStyle name="Calculation 2 8 6 3 3 2" xfId="29871" xr:uid="{00000000-0005-0000-0000-0000910F0000}"/>
    <cellStyle name="Calculation 2 8 6 3 4" xfId="21822" xr:uid="{00000000-0005-0000-0000-0000920F0000}"/>
    <cellStyle name="Calculation 2 8 6 4" xfId="2705" xr:uid="{00000000-0005-0000-0000-0000930F0000}"/>
    <cellStyle name="Calculation 2 8 6 4 2" xfId="6796" xr:uid="{00000000-0005-0000-0000-0000940F0000}"/>
    <cellStyle name="Calculation 2 8 6 4 2 2" xfId="23035" xr:uid="{00000000-0005-0000-0000-0000950F0000}"/>
    <cellStyle name="Calculation 2 8 6 4 3" xfId="13043" xr:uid="{00000000-0005-0000-0000-0000960F0000}"/>
    <cellStyle name="Calculation 2 8 6 4 3 2" xfId="27875" xr:uid="{00000000-0005-0000-0000-0000970F0000}"/>
    <cellStyle name="Calculation 2 8 6 4 4" xfId="20695" xr:uid="{00000000-0005-0000-0000-0000980F0000}"/>
    <cellStyle name="Calculation 2 8 6 5" xfId="5854" xr:uid="{00000000-0005-0000-0000-0000990F0000}"/>
    <cellStyle name="Calculation 2 8 6 5 2" xfId="16046" xr:uid="{00000000-0005-0000-0000-00009A0F0000}"/>
    <cellStyle name="Calculation 2 8 6 5 2 2" xfId="30878" xr:uid="{00000000-0005-0000-0000-00009B0F0000}"/>
    <cellStyle name="Calculation 2 8 6 5 3" xfId="22451" xr:uid="{00000000-0005-0000-0000-00009C0F0000}"/>
    <cellStyle name="Calculation 2 8 6 6" xfId="12116" xr:uid="{00000000-0005-0000-0000-00009D0F0000}"/>
    <cellStyle name="Calculation 2 8 6 6 2" xfId="26948" xr:uid="{00000000-0005-0000-0000-00009E0F0000}"/>
    <cellStyle name="Calculation 2 8 6 7" xfId="9727" xr:uid="{00000000-0005-0000-0000-00009F0F0000}"/>
    <cellStyle name="Calculation 2 8 6 7 2" xfId="20025" xr:uid="{00000000-0005-0000-0000-0000A00F0000}"/>
    <cellStyle name="Calculation 2 8 7" xfId="2229" xr:uid="{00000000-0005-0000-0000-0000A10F0000}"/>
    <cellStyle name="Calculation 2 8 7 2" xfId="4042" xr:uid="{00000000-0005-0000-0000-0000A20F0000}"/>
    <cellStyle name="Calculation 2 8 7 2 2" xfId="8089" xr:uid="{00000000-0005-0000-0000-0000A30F0000}"/>
    <cellStyle name="Calculation 2 8 7 2 2 2" xfId="23854" xr:uid="{00000000-0005-0000-0000-0000A40F0000}"/>
    <cellStyle name="Calculation 2 8 7 2 3" xfId="14374" xr:uid="{00000000-0005-0000-0000-0000A50F0000}"/>
    <cellStyle name="Calculation 2 8 7 2 3 2" xfId="29206" xr:uid="{00000000-0005-0000-0000-0000A60F0000}"/>
    <cellStyle name="Calculation 2 8 7 2 4" xfId="21488" xr:uid="{00000000-0005-0000-0000-0000A70F0000}"/>
    <cellStyle name="Calculation 2 8 7 3" xfId="5197" xr:uid="{00000000-0005-0000-0000-0000A80F0000}"/>
    <cellStyle name="Calculation 2 8 7 3 2" xfId="9236" xr:uid="{00000000-0005-0000-0000-0000A90F0000}"/>
    <cellStyle name="Calculation 2 8 7 3 2 2" xfId="24574" xr:uid="{00000000-0005-0000-0000-0000AA0F0000}"/>
    <cellStyle name="Calculation 2 8 7 3 3" xfId="15515" xr:uid="{00000000-0005-0000-0000-0000AB0F0000}"/>
    <cellStyle name="Calculation 2 8 7 3 3 2" xfId="30347" xr:uid="{00000000-0005-0000-0000-0000AC0F0000}"/>
    <cellStyle name="Calculation 2 8 7 3 4" xfId="22081" xr:uid="{00000000-0005-0000-0000-0000AD0F0000}"/>
    <cellStyle name="Calculation 2 8 7 4" xfId="4227" xr:uid="{00000000-0005-0000-0000-0000AE0F0000}"/>
    <cellStyle name="Calculation 2 8 7 4 2" xfId="8268" xr:uid="{00000000-0005-0000-0000-0000AF0F0000}"/>
    <cellStyle name="Calculation 2 8 7 4 2 2" xfId="23963" xr:uid="{00000000-0005-0000-0000-0000B00F0000}"/>
    <cellStyle name="Calculation 2 8 7 4 3" xfId="14559" xr:uid="{00000000-0005-0000-0000-0000B10F0000}"/>
    <cellStyle name="Calculation 2 8 7 4 3 2" xfId="29391" xr:uid="{00000000-0005-0000-0000-0000B20F0000}"/>
    <cellStyle name="Calculation 2 8 7 4 4" xfId="21588" xr:uid="{00000000-0005-0000-0000-0000B30F0000}"/>
    <cellStyle name="Calculation 2 8 7 5" xfId="6343" xr:uid="{00000000-0005-0000-0000-0000B40F0000}"/>
    <cellStyle name="Calculation 2 8 7 5 2" xfId="22745" xr:uid="{00000000-0005-0000-0000-0000B50F0000}"/>
    <cellStyle name="Calculation 2 8 7 6" xfId="12597" xr:uid="{00000000-0005-0000-0000-0000B60F0000}"/>
    <cellStyle name="Calculation 2 8 7 6 2" xfId="27429" xr:uid="{00000000-0005-0000-0000-0000B70F0000}"/>
    <cellStyle name="Calculation 2 8 7 7" xfId="20424" xr:uid="{00000000-0005-0000-0000-0000B80F0000}"/>
    <cellStyle name="Calculation 2 8 8" xfId="3919" xr:uid="{00000000-0005-0000-0000-0000B90F0000}"/>
    <cellStyle name="Calculation 2 8 8 2" xfId="7970" xr:uid="{00000000-0005-0000-0000-0000BA0F0000}"/>
    <cellStyle name="Calculation 2 8 8 2 2" xfId="23778" xr:uid="{00000000-0005-0000-0000-0000BB0F0000}"/>
    <cellStyle name="Calculation 2 8 8 3" xfId="14252" xr:uid="{00000000-0005-0000-0000-0000BC0F0000}"/>
    <cellStyle name="Calculation 2 8 8 3 2" xfId="29084" xr:uid="{00000000-0005-0000-0000-0000BD0F0000}"/>
    <cellStyle name="Calculation 2 8 8 4" xfId="21419" xr:uid="{00000000-0005-0000-0000-0000BE0F0000}"/>
    <cellStyle name="Calculation 2 8 9" xfId="4279" xr:uid="{00000000-0005-0000-0000-0000BF0F0000}"/>
    <cellStyle name="Calculation 2 8 9 2" xfId="8318" xr:uid="{00000000-0005-0000-0000-0000C00F0000}"/>
    <cellStyle name="Calculation 2 8 9 2 2" xfId="24010" xr:uid="{00000000-0005-0000-0000-0000C10F0000}"/>
    <cellStyle name="Calculation 2 8 9 3" xfId="14611" xr:uid="{00000000-0005-0000-0000-0000C20F0000}"/>
    <cellStyle name="Calculation 2 8 9 3 2" xfId="29443" xr:uid="{00000000-0005-0000-0000-0000C30F0000}"/>
    <cellStyle name="Calculation 2 8 9 4" xfId="21609" xr:uid="{00000000-0005-0000-0000-0000C40F0000}"/>
    <cellStyle name="Calculation 2 9" xfId="1304" xr:uid="{00000000-0005-0000-0000-0000C50F0000}"/>
    <cellStyle name="Calculation 2 9 2" xfId="1808" xr:uid="{00000000-0005-0000-0000-0000C60F0000}"/>
    <cellStyle name="Calculation 2 9 2 2" xfId="3803" xr:uid="{00000000-0005-0000-0000-0000C70F0000}"/>
    <cellStyle name="Calculation 2 9 2 2 2" xfId="7858" xr:uid="{00000000-0005-0000-0000-0000C80F0000}"/>
    <cellStyle name="Calculation 2 9 2 2 2 2" xfId="23710" xr:uid="{00000000-0005-0000-0000-0000C90F0000}"/>
    <cellStyle name="Calculation 2 9 2 2 3" xfId="14138" xr:uid="{00000000-0005-0000-0000-0000CA0F0000}"/>
    <cellStyle name="Calculation 2 9 2 2 3 2" xfId="28970" xr:uid="{00000000-0005-0000-0000-0000CB0F0000}"/>
    <cellStyle name="Calculation 2 9 2 2 4" xfId="21361" xr:uid="{00000000-0005-0000-0000-0000CC0F0000}"/>
    <cellStyle name="Calculation 2 9 2 3" xfId="4786" xr:uid="{00000000-0005-0000-0000-0000CD0F0000}"/>
    <cellStyle name="Calculation 2 9 2 3 2" xfId="8825" xr:uid="{00000000-0005-0000-0000-0000CE0F0000}"/>
    <cellStyle name="Calculation 2 9 2 3 2 2" xfId="24323" xr:uid="{00000000-0005-0000-0000-0000CF0F0000}"/>
    <cellStyle name="Calculation 2 9 2 3 3" xfId="15110" xr:uid="{00000000-0005-0000-0000-0000D00F0000}"/>
    <cellStyle name="Calculation 2 9 2 3 3 2" xfId="29942" xr:uid="{00000000-0005-0000-0000-0000D10F0000}"/>
    <cellStyle name="Calculation 2 9 2 3 4" xfId="21861" xr:uid="{00000000-0005-0000-0000-0000D20F0000}"/>
    <cellStyle name="Calculation 2 9 2 4" xfId="2776" xr:uid="{00000000-0005-0000-0000-0000D30F0000}"/>
    <cellStyle name="Calculation 2 9 2 4 2" xfId="6867" xr:uid="{00000000-0005-0000-0000-0000D40F0000}"/>
    <cellStyle name="Calculation 2 9 2 4 2 2" xfId="23074" xr:uid="{00000000-0005-0000-0000-0000D50F0000}"/>
    <cellStyle name="Calculation 2 9 2 4 3" xfId="13114" xr:uid="{00000000-0005-0000-0000-0000D60F0000}"/>
    <cellStyle name="Calculation 2 9 2 4 3 2" xfId="27946" xr:uid="{00000000-0005-0000-0000-0000D70F0000}"/>
    <cellStyle name="Calculation 2 9 2 4 4" xfId="20734" xr:uid="{00000000-0005-0000-0000-0000D80F0000}"/>
    <cellStyle name="Calculation 2 9 2 5" xfId="5940" xr:uid="{00000000-0005-0000-0000-0000D90F0000}"/>
    <cellStyle name="Calculation 2 9 2 5 2" xfId="16132" xr:uid="{00000000-0005-0000-0000-0000DA0F0000}"/>
    <cellStyle name="Calculation 2 9 2 5 2 2" xfId="30964" xr:uid="{00000000-0005-0000-0000-0000DB0F0000}"/>
    <cellStyle name="Calculation 2 9 2 5 3" xfId="22505" xr:uid="{00000000-0005-0000-0000-0000DC0F0000}"/>
    <cellStyle name="Calculation 2 9 2 6" xfId="12202" xr:uid="{00000000-0005-0000-0000-0000DD0F0000}"/>
    <cellStyle name="Calculation 2 9 2 6 2" xfId="27034" xr:uid="{00000000-0005-0000-0000-0000DE0F0000}"/>
    <cellStyle name="Calculation 2 9 2 7" xfId="9798" xr:uid="{00000000-0005-0000-0000-0000DF0F0000}"/>
    <cellStyle name="Calculation 2 9 2 7 2" xfId="20049" xr:uid="{00000000-0005-0000-0000-0000E00F0000}"/>
    <cellStyle name="Calculation 2 9 3" xfId="3645" xr:uid="{00000000-0005-0000-0000-0000E10F0000}"/>
    <cellStyle name="Calculation 2 9 3 2" xfId="7704" xr:uid="{00000000-0005-0000-0000-0000E20F0000}"/>
    <cellStyle name="Calculation 2 9 3 2 2" xfId="23604" xr:uid="{00000000-0005-0000-0000-0000E30F0000}"/>
    <cellStyle name="Calculation 2 9 3 3" xfId="13980" xr:uid="{00000000-0005-0000-0000-0000E40F0000}"/>
    <cellStyle name="Calculation 2 9 3 3 2" xfId="28812" xr:uid="{00000000-0005-0000-0000-0000E50F0000}"/>
    <cellStyle name="Calculation 2 9 3 4" xfId="21269" xr:uid="{00000000-0005-0000-0000-0000E60F0000}"/>
    <cellStyle name="Calculation 2 9 4" xfId="3362" xr:uid="{00000000-0005-0000-0000-0000E70F0000}"/>
    <cellStyle name="Calculation 2 9 4 2" xfId="7425" xr:uid="{00000000-0005-0000-0000-0000E80F0000}"/>
    <cellStyle name="Calculation 2 9 4 2 2" xfId="23426" xr:uid="{00000000-0005-0000-0000-0000E90F0000}"/>
    <cellStyle name="Calculation 2 9 4 3" xfId="13699" xr:uid="{00000000-0005-0000-0000-0000EA0F0000}"/>
    <cellStyle name="Calculation 2 9 4 3 2" xfId="28531" xr:uid="{00000000-0005-0000-0000-0000EB0F0000}"/>
    <cellStyle name="Calculation 2 9 4 4" xfId="21111" xr:uid="{00000000-0005-0000-0000-0000EC0F0000}"/>
    <cellStyle name="Calculation 2 9 5" xfId="2356" xr:uid="{00000000-0005-0000-0000-0000ED0F0000}"/>
    <cellStyle name="Calculation 2 9 5 2" xfId="6468" xr:uid="{00000000-0005-0000-0000-0000EE0F0000}"/>
    <cellStyle name="Calculation 2 9 5 2 2" xfId="22838" xr:uid="{00000000-0005-0000-0000-0000EF0F0000}"/>
    <cellStyle name="Calculation 2 9 5 3" xfId="12695" xr:uid="{00000000-0005-0000-0000-0000F00F0000}"/>
    <cellStyle name="Calculation 2 9 5 3 2" xfId="27527" xr:uid="{00000000-0005-0000-0000-0000F10F0000}"/>
    <cellStyle name="Calculation 2 9 5 4" xfId="20480" xr:uid="{00000000-0005-0000-0000-0000F20F0000}"/>
    <cellStyle name="Calculation 2 9 6" xfId="5481" xr:uid="{00000000-0005-0000-0000-0000F30F0000}"/>
    <cellStyle name="Calculation 2 9 6 2" xfId="15716" xr:uid="{00000000-0005-0000-0000-0000F40F0000}"/>
    <cellStyle name="Calculation 2 9 6 2 2" xfId="30548" xr:uid="{00000000-0005-0000-0000-0000F50F0000}"/>
    <cellStyle name="Calculation 2 9 6 3" xfId="22209" xr:uid="{00000000-0005-0000-0000-0000F60F0000}"/>
    <cellStyle name="Calculation 2 9 7" xfId="9321" xr:uid="{00000000-0005-0000-0000-0000F70F0000}"/>
    <cellStyle name="Calculation 2 9 7 2" xfId="24627" xr:uid="{00000000-0005-0000-0000-0000F80F0000}"/>
    <cellStyle name="Calculation 2 9 8" xfId="9402" xr:uid="{00000000-0005-0000-0000-0000F90F0000}"/>
    <cellStyle name="Calculation 2 9 8 2" xfId="19706" xr:uid="{00000000-0005-0000-0000-0000FA0F0000}"/>
    <cellStyle name="Calculation 3" xfId="970" xr:uid="{00000000-0005-0000-0000-0000FB0F0000}"/>
    <cellStyle name="Calculation 3 10" xfId="2276" xr:uid="{00000000-0005-0000-0000-0000FC0F0000}"/>
    <cellStyle name="Calculation 3 10 2" xfId="6388" xr:uid="{00000000-0005-0000-0000-0000FD0F0000}"/>
    <cellStyle name="Calculation 3 10 2 2" xfId="22790" xr:uid="{00000000-0005-0000-0000-0000FE0F0000}"/>
    <cellStyle name="Calculation 3 10 3" xfId="12616" xr:uid="{00000000-0005-0000-0000-0000FF0F0000}"/>
    <cellStyle name="Calculation 3 10 3 2" xfId="27448" xr:uid="{00000000-0005-0000-0000-000000100000}"/>
    <cellStyle name="Calculation 3 10 4" xfId="20442" xr:uid="{00000000-0005-0000-0000-000001100000}"/>
    <cellStyle name="Calculation 3 11" xfId="5242" xr:uid="{00000000-0005-0000-0000-000002100000}"/>
    <cellStyle name="Calculation 3 11 2" xfId="15558" xr:uid="{00000000-0005-0000-0000-000003100000}"/>
    <cellStyle name="Calculation 3 11 2 2" xfId="30390" xr:uid="{00000000-0005-0000-0000-000004100000}"/>
    <cellStyle name="Calculation 3 11 3" xfId="22099" xr:uid="{00000000-0005-0000-0000-000005100000}"/>
    <cellStyle name="Calculation 3 12" xfId="5400" xr:uid="{00000000-0005-0000-0000-000006100000}"/>
    <cellStyle name="Calculation 3 12 2" xfId="15636" xr:uid="{00000000-0005-0000-0000-000007100000}"/>
    <cellStyle name="Calculation 3 12 2 2" xfId="30468" xr:uid="{00000000-0005-0000-0000-000008100000}"/>
    <cellStyle name="Calculation 3 12 3" xfId="22161" xr:uid="{00000000-0005-0000-0000-000009100000}"/>
    <cellStyle name="Calculation 3 13" xfId="9391" xr:uid="{00000000-0005-0000-0000-00000A100000}"/>
    <cellStyle name="Calculation 3 13 2" xfId="24697" xr:uid="{00000000-0005-0000-0000-00000B100000}"/>
    <cellStyle name="Calculation 3 14" xfId="7136" xr:uid="{00000000-0005-0000-0000-00000C100000}"/>
    <cellStyle name="Calculation 3 14 2" xfId="18902" xr:uid="{00000000-0005-0000-0000-00000D100000}"/>
    <cellStyle name="Calculation 3 2" xfId="1312" xr:uid="{00000000-0005-0000-0000-00000E100000}"/>
    <cellStyle name="Calculation 3 2 2" xfId="1816" xr:uid="{00000000-0005-0000-0000-00000F100000}"/>
    <cellStyle name="Calculation 3 2 2 2" xfId="3632" xr:uid="{00000000-0005-0000-0000-000010100000}"/>
    <cellStyle name="Calculation 3 2 2 2 2" xfId="7691" xr:uid="{00000000-0005-0000-0000-000011100000}"/>
    <cellStyle name="Calculation 3 2 2 2 2 2" xfId="23597" xr:uid="{00000000-0005-0000-0000-000012100000}"/>
    <cellStyle name="Calculation 3 2 2 2 3" xfId="13967" xr:uid="{00000000-0005-0000-0000-000013100000}"/>
    <cellStyle name="Calculation 3 2 2 2 3 2" xfId="28799" xr:uid="{00000000-0005-0000-0000-000014100000}"/>
    <cellStyle name="Calculation 3 2 2 2 4" xfId="21262" xr:uid="{00000000-0005-0000-0000-000015100000}"/>
    <cellStyle name="Calculation 3 2 2 3" xfId="4794" xr:uid="{00000000-0005-0000-0000-000016100000}"/>
    <cellStyle name="Calculation 3 2 2 3 2" xfId="8833" xr:uid="{00000000-0005-0000-0000-000017100000}"/>
    <cellStyle name="Calculation 3 2 2 3 2 2" xfId="24331" xr:uid="{00000000-0005-0000-0000-000018100000}"/>
    <cellStyle name="Calculation 3 2 2 3 3" xfId="15118" xr:uid="{00000000-0005-0000-0000-000019100000}"/>
    <cellStyle name="Calculation 3 2 2 3 3 2" xfId="29950" xr:uid="{00000000-0005-0000-0000-00001A100000}"/>
    <cellStyle name="Calculation 3 2 2 3 4" xfId="21869" xr:uid="{00000000-0005-0000-0000-00001B100000}"/>
    <cellStyle name="Calculation 3 2 2 4" xfId="2784" xr:uid="{00000000-0005-0000-0000-00001C100000}"/>
    <cellStyle name="Calculation 3 2 2 4 2" xfId="6875" xr:uid="{00000000-0005-0000-0000-00001D100000}"/>
    <cellStyle name="Calculation 3 2 2 4 2 2" xfId="23082" xr:uid="{00000000-0005-0000-0000-00001E100000}"/>
    <cellStyle name="Calculation 3 2 2 4 3" xfId="13122" xr:uid="{00000000-0005-0000-0000-00001F100000}"/>
    <cellStyle name="Calculation 3 2 2 4 3 2" xfId="27954" xr:uid="{00000000-0005-0000-0000-000020100000}"/>
    <cellStyle name="Calculation 3 2 2 4 4" xfId="20742" xr:uid="{00000000-0005-0000-0000-000021100000}"/>
    <cellStyle name="Calculation 3 2 2 5" xfId="5948" xr:uid="{00000000-0005-0000-0000-000022100000}"/>
    <cellStyle name="Calculation 3 2 2 5 2" xfId="16140" xr:uid="{00000000-0005-0000-0000-000023100000}"/>
    <cellStyle name="Calculation 3 2 2 5 2 2" xfId="30972" xr:uid="{00000000-0005-0000-0000-000024100000}"/>
    <cellStyle name="Calculation 3 2 2 5 3" xfId="22513" xr:uid="{00000000-0005-0000-0000-000025100000}"/>
    <cellStyle name="Calculation 3 2 2 6" xfId="12210" xr:uid="{00000000-0005-0000-0000-000026100000}"/>
    <cellStyle name="Calculation 3 2 2 6 2" xfId="27042" xr:uid="{00000000-0005-0000-0000-000027100000}"/>
    <cellStyle name="Calculation 3 2 2 7" xfId="9806" xr:uid="{00000000-0005-0000-0000-000028100000}"/>
    <cellStyle name="Calculation 3 2 2 7 2" xfId="20057" xr:uid="{00000000-0005-0000-0000-000029100000}"/>
    <cellStyle name="Calculation 3 2 3" xfId="4012" xr:uid="{00000000-0005-0000-0000-00002A100000}"/>
    <cellStyle name="Calculation 3 2 3 2" xfId="8059" xr:uid="{00000000-0005-0000-0000-00002B100000}"/>
    <cellStyle name="Calculation 3 2 3 2 2" xfId="23836" xr:uid="{00000000-0005-0000-0000-00002C100000}"/>
    <cellStyle name="Calculation 3 2 3 3" xfId="14344" xr:uid="{00000000-0005-0000-0000-00002D100000}"/>
    <cellStyle name="Calculation 3 2 3 3 2" xfId="29176" xr:uid="{00000000-0005-0000-0000-00002E100000}"/>
    <cellStyle name="Calculation 3 2 3 4" xfId="21474" xr:uid="{00000000-0005-0000-0000-00002F100000}"/>
    <cellStyle name="Calculation 3 2 4" xfId="4374" xr:uid="{00000000-0005-0000-0000-000030100000}"/>
    <cellStyle name="Calculation 3 2 4 2" xfId="8413" xr:uid="{00000000-0005-0000-0000-000031100000}"/>
    <cellStyle name="Calculation 3 2 4 2 2" xfId="24071" xr:uid="{00000000-0005-0000-0000-000032100000}"/>
    <cellStyle name="Calculation 3 2 4 3" xfId="14703" xr:uid="{00000000-0005-0000-0000-000033100000}"/>
    <cellStyle name="Calculation 3 2 4 3 2" xfId="29535" xr:uid="{00000000-0005-0000-0000-000034100000}"/>
    <cellStyle name="Calculation 3 2 4 4" xfId="21639" xr:uid="{00000000-0005-0000-0000-000035100000}"/>
    <cellStyle name="Calculation 3 2 5" xfId="2364" xr:uid="{00000000-0005-0000-0000-000036100000}"/>
    <cellStyle name="Calculation 3 2 5 2" xfId="6476" xr:uid="{00000000-0005-0000-0000-000037100000}"/>
    <cellStyle name="Calculation 3 2 5 2 2" xfId="22846" xr:uid="{00000000-0005-0000-0000-000038100000}"/>
    <cellStyle name="Calculation 3 2 5 3" xfId="12703" xr:uid="{00000000-0005-0000-0000-000039100000}"/>
    <cellStyle name="Calculation 3 2 5 3 2" xfId="27535" xr:uid="{00000000-0005-0000-0000-00003A100000}"/>
    <cellStyle name="Calculation 3 2 5 4" xfId="20488" xr:uid="{00000000-0005-0000-0000-00003B100000}"/>
    <cellStyle name="Calculation 3 2 6" xfId="5489" xr:uid="{00000000-0005-0000-0000-00003C100000}"/>
    <cellStyle name="Calculation 3 2 6 2" xfId="15724" xr:uid="{00000000-0005-0000-0000-00003D100000}"/>
    <cellStyle name="Calculation 3 2 6 2 2" xfId="30556" xr:uid="{00000000-0005-0000-0000-00003E100000}"/>
    <cellStyle name="Calculation 3 2 6 3" xfId="22217" xr:uid="{00000000-0005-0000-0000-00003F100000}"/>
    <cellStyle name="Calculation 3 2 7" xfId="11739" xr:uid="{00000000-0005-0000-0000-000040100000}"/>
    <cellStyle name="Calculation 3 2 7 2" xfId="26571" xr:uid="{00000000-0005-0000-0000-000041100000}"/>
    <cellStyle name="Calculation 3 2 8" xfId="9410" xr:uid="{00000000-0005-0000-0000-000042100000}"/>
    <cellStyle name="Calculation 3 2 8 2" xfId="19714" xr:uid="{00000000-0005-0000-0000-000043100000}"/>
    <cellStyle name="Calculation 3 3" xfId="1446" xr:uid="{00000000-0005-0000-0000-000044100000}"/>
    <cellStyle name="Calculation 3 3 2" xfId="1947" xr:uid="{00000000-0005-0000-0000-000045100000}"/>
    <cellStyle name="Calculation 3 3 2 2" xfId="3552" xr:uid="{00000000-0005-0000-0000-000046100000}"/>
    <cellStyle name="Calculation 3 3 2 2 2" xfId="7614" xr:uid="{00000000-0005-0000-0000-000047100000}"/>
    <cellStyle name="Calculation 3 3 2 2 2 2" xfId="23549" xr:uid="{00000000-0005-0000-0000-000048100000}"/>
    <cellStyle name="Calculation 3 3 2 2 3" xfId="13888" xr:uid="{00000000-0005-0000-0000-000049100000}"/>
    <cellStyle name="Calculation 3 3 2 2 3 2" xfId="28720" xr:uid="{00000000-0005-0000-0000-00004A100000}"/>
    <cellStyle name="Calculation 3 3 2 2 4" xfId="21219" xr:uid="{00000000-0005-0000-0000-00004B100000}"/>
    <cellStyle name="Calculation 3 3 2 3" xfId="4926" xr:uid="{00000000-0005-0000-0000-00004C100000}"/>
    <cellStyle name="Calculation 3 3 2 3 2" xfId="8965" xr:uid="{00000000-0005-0000-0000-00004D100000}"/>
    <cellStyle name="Calculation 3 3 2 3 2 2" xfId="24431" xr:uid="{00000000-0005-0000-0000-00004E100000}"/>
    <cellStyle name="Calculation 3 3 2 3 3" xfId="15248" xr:uid="{00000000-0005-0000-0000-00004F100000}"/>
    <cellStyle name="Calculation 3 3 2 3 3 2" xfId="30080" xr:uid="{00000000-0005-0000-0000-000050100000}"/>
    <cellStyle name="Calculation 3 3 2 3 4" xfId="21961" xr:uid="{00000000-0005-0000-0000-000051100000}"/>
    <cellStyle name="Calculation 3 3 2 4" xfId="2916" xr:uid="{00000000-0005-0000-0000-000052100000}"/>
    <cellStyle name="Calculation 3 3 2 4 2" xfId="7000" xr:uid="{00000000-0005-0000-0000-000053100000}"/>
    <cellStyle name="Calculation 3 3 2 4 2 2" xfId="23174" xr:uid="{00000000-0005-0000-0000-000054100000}"/>
    <cellStyle name="Calculation 3 3 2 4 3" xfId="13254" xr:uid="{00000000-0005-0000-0000-000055100000}"/>
    <cellStyle name="Calculation 3 3 2 4 3 2" xfId="28086" xr:uid="{00000000-0005-0000-0000-000056100000}"/>
    <cellStyle name="Calculation 3 3 2 4 4" xfId="20842" xr:uid="{00000000-0005-0000-0000-000057100000}"/>
    <cellStyle name="Calculation 3 3 2 5" xfId="6077" xr:uid="{00000000-0005-0000-0000-000058100000}"/>
    <cellStyle name="Calculation 3 3 2 5 2" xfId="16264" xr:uid="{00000000-0005-0000-0000-000059100000}"/>
    <cellStyle name="Calculation 3 3 2 5 2 2" xfId="31096" xr:uid="{00000000-0005-0000-0000-00005A100000}"/>
    <cellStyle name="Calculation 3 3 2 5 3" xfId="22610" xr:uid="{00000000-0005-0000-0000-00005B100000}"/>
    <cellStyle name="Calculation 3 3 2 6" xfId="12334" xr:uid="{00000000-0005-0000-0000-00005C100000}"/>
    <cellStyle name="Calculation 3 3 2 6 2" xfId="27166" xr:uid="{00000000-0005-0000-0000-00005D100000}"/>
    <cellStyle name="Calculation 3 3 2 7" xfId="9931" xr:uid="{00000000-0005-0000-0000-00005E100000}"/>
    <cellStyle name="Calculation 3 3 2 7 2" xfId="20133" xr:uid="{00000000-0005-0000-0000-00005F100000}"/>
    <cellStyle name="Calculation 3 3 3" xfId="3470" xr:uid="{00000000-0005-0000-0000-000060100000}"/>
    <cellStyle name="Calculation 3 3 3 2" xfId="7533" xr:uid="{00000000-0005-0000-0000-000061100000}"/>
    <cellStyle name="Calculation 3 3 3 2 2" xfId="23500" xr:uid="{00000000-0005-0000-0000-000062100000}"/>
    <cellStyle name="Calculation 3 3 3 3" xfId="13807" xr:uid="{00000000-0005-0000-0000-000063100000}"/>
    <cellStyle name="Calculation 3 3 3 3 2" xfId="28639" xr:uid="{00000000-0005-0000-0000-000064100000}"/>
    <cellStyle name="Calculation 3 3 3 4" xfId="21175" xr:uid="{00000000-0005-0000-0000-000065100000}"/>
    <cellStyle name="Calculation 3 3 4" xfId="4506" xr:uid="{00000000-0005-0000-0000-000066100000}"/>
    <cellStyle name="Calculation 3 3 4 2" xfId="8545" xr:uid="{00000000-0005-0000-0000-000067100000}"/>
    <cellStyle name="Calculation 3 3 4 2 2" xfId="24171" xr:uid="{00000000-0005-0000-0000-000068100000}"/>
    <cellStyle name="Calculation 3 3 4 3" xfId="14833" xr:uid="{00000000-0005-0000-0000-000069100000}"/>
    <cellStyle name="Calculation 3 3 4 3 2" xfId="29665" xr:uid="{00000000-0005-0000-0000-00006A100000}"/>
    <cellStyle name="Calculation 3 3 4 4" xfId="21731" xr:uid="{00000000-0005-0000-0000-00006B100000}"/>
    <cellStyle name="Calculation 3 3 5" xfId="2496" xr:uid="{00000000-0005-0000-0000-00006C100000}"/>
    <cellStyle name="Calculation 3 3 5 2" xfId="6602" xr:uid="{00000000-0005-0000-0000-00006D100000}"/>
    <cellStyle name="Calculation 3 3 5 2 2" xfId="22940" xr:uid="{00000000-0005-0000-0000-00006E100000}"/>
    <cellStyle name="Calculation 3 3 5 3" xfId="12834" xr:uid="{00000000-0005-0000-0000-00006F100000}"/>
    <cellStyle name="Calculation 3 3 5 3 2" xfId="27666" xr:uid="{00000000-0005-0000-0000-000070100000}"/>
    <cellStyle name="Calculation 3 3 5 4" xfId="20586" xr:uid="{00000000-0005-0000-0000-000071100000}"/>
    <cellStyle name="Calculation 3 3 6" xfId="5619" xr:uid="{00000000-0005-0000-0000-000072100000}"/>
    <cellStyle name="Calculation 3 3 6 2" xfId="15854" xr:uid="{00000000-0005-0000-0000-000073100000}"/>
    <cellStyle name="Calculation 3 3 6 2 2" xfId="30686" xr:uid="{00000000-0005-0000-0000-000074100000}"/>
    <cellStyle name="Calculation 3 3 6 3" xfId="22315" xr:uid="{00000000-0005-0000-0000-000075100000}"/>
    <cellStyle name="Calculation 3 3 7" xfId="11863" xr:uid="{00000000-0005-0000-0000-000076100000}"/>
    <cellStyle name="Calculation 3 3 7 2" xfId="26695" xr:uid="{00000000-0005-0000-0000-000077100000}"/>
    <cellStyle name="Calculation 3 3 8" xfId="9536" xr:uid="{00000000-0005-0000-0000-000078100000}"/>
    <cellStyle name="Calculation 3 3 8 2" xfId="19838" xr:uid="{00000000-0005-0000-0000-000079100000}"/>
    <cellStyle name="Calculation 3 4" xfId="1409" xr:uid="{00000000-0005-0000-0000-00007A100000}"/>
    <cellStyle name="Calculation 3 4 2" xfId="1911" xr:uid="{00000000-0005-0000-0000-00007B100000}"/>
    <cellStyle name="Calculation 3 4 2 2" xfId="3557" xr:uid="{00000000-0005-0000-0000-00007C100000}"/>
    <cellStyle name="Calculation 3 4 2 2 2" xfId="7619" xr:uid="{00000000-0005-0000-0000-00007D100000}"/>
    <cellStyle name="Calculation 3 4 2 2 2 2" xfId="23551" xr:uid="{00000000-0005-0000-0000-00007E100000}"/>
    <cellStyle name="Calculation 3 4 2 2 3" xfId="13893" xr:uid="{00000000-0005-0000-0000-00007F100000}"/>
    <cellStyle name="Calculation 3 4 2 2 3 2" xfId="28725" xr:uid="{00000000-0005-0000-0000-000080100000}"/>
    <cellStyle name="Calculation 3 4 2 2 4" xfId="21221" xr:uid="{00000000-0005-0000-0000-000081100000}"/>
    <cellStyle name="Calculation 3 4 2 3" xfId="4889" xr:uid="{00000000-0005-0000-0000-000082100000}"/>
    <cellStyle name="Calculation 3 4 2 3 2" xfId="8928" xr:uid="{00000000-0005-0000-0000-000083100000}"/>
    <cellStyle name="Calculation 3 4 2 3 2 2" xfId="24394" xr:uid="{00000000-0005-0000-0000-000084100000}"/>
    <cellStyle name="Calculation 3 4 2 3 3" xfId="15212" xr:uid="{00000000-0005-0000-0000-000085100000}"/>
    <cellStyle name="Calculation 3 4 2 3 3 2" xfId="30044" xr:uid="{00000000-0005-0000-0000-000086100000}"/>
    <cellStyle name="Calculation 3 4 2 3 4" xfId="21926" xr:uid="{00000000-0005-0000-0000-000087100000}"/>
    <cellStyle name="Calculation 3 4 2 4" xfId="2879" xr:uid="{00000000-0005-0000-0000-000088100000}"/>
    <cellStyle name="Calculation 3 4 2 4 2" xfId="6964" xr:uid="{00000000-0005-0000-0000-000089100000}"/>
    <cellStyle name="Calculation 3 4 2 4 2 2" xfId="23139" xr:uid="{00000000-0005-0000-0000-00008A100000}"/>
    <cellStyle name="Calculation 3 4 2 4 3" xfId="13217" xr:uid="{00000000-0005-0000-0000-00008B100000}"/>
    <cellStyle name="Calculation 3 4 2 4 3 2" xfId="28049" xr:uid="{00000000-0005-0000-0000-00008C100000}"/>
    <cellStyle name="Calculation 3 4 2 4 4" xfId="20805" xr:uid="{00000000-0005-0000-0000-00008D100000}"/>
    <cellStyle name="Calculation 3 4 2 5" xfId="6042" xr:uid="{00000000-0005-0000-0000-00008E100000}"/>
    <cellStyle name="Calculation 3 4 2 5 2" xfId="16229" xr:uid="{00000000-0005-0000-0000-00008F100000}"/>
    <cellStyle name="Calculation 3 4 2 5 2 2" xfId="31061" xr:uid="{00000000-0005-0000-0000-000090100000}"/>
    <cellStyle name="Calculation 3 4 2 5 3" xfId="22575" xr:uid="{00000000-0005-0000-0000-000091100000}"/>
    <cellStyle name="Calculation 3 4 2 6" xfId="12299" xr:uid="{00000000-0005-0000-0000-000092100000}"/>
    <cellStyle name="Calculation 3 4 2 6 2" xfId="27131" xr:uid="{00000000-0005-0000-0000-000093100000}"/>
    <cellStyle name="Calculation 3 4 2 7" xfId="9895" xr:uid="{00000000-0005-0000-0000-000094100000}"/>
    <cellStyle name="Calculation 3 4 2 7 2" xfId="20098" xr:uid="{00000000-0005-0000-0000-000095100000}"/>
    <cellStyle name="Calculation 3 4 3" xfId="3964" xr:uid="{00000000-0005-0000-0000-000096100000}"/>
    <cellStyle name="Calculation 3 4 3 2" xfId="8014" xr:uid="{00000000-0005-0000-0000-000097100000}"/>
    <cellStyle name="Calculation 3 4 3 2 2" xfId="23807" xr:uid="{00000000-0005-0000-0000-000098100000}"/>
    <cellStyle name="Calculation 3 4 3 3" xfId="14297" xr:uid="{00000000-0005-0000-0000-000099100000}"/>
    <cellStyle name="Calculation 3 4 3 3 2" xfId="29129" xr:uid="{00000000-0005-0000-0000-00009A100000}"/>
    <cellStyle name="Calculation 3 4 3 4" xfId="21449" xr:uid="{00000000-0005-0000-0000-00009B100000}"/>
    <cellStyle name="Calculation 3 4 4" xfId="4469" xr:uid="{00000000-0005-0000-0000-00009C100000}"/>
    <cellStyle name="Calculation 3 4 4 2" xfId="8508" xr:uid="{00000000-0005-0000-0000-00009D100000}"/>
    <cellStyle name="Calculation 3 4 4 2 2" xfId="24134" xr:uid="{00000000-0005-0000-0000-00009E100000}"/>
    <cellStyle name="Calculation 3 4 4 3" xfId="14797" xr:uid="{00000000-0005-0000-0000-00009F100000}"/>
    <cellStyle name="Calculation 3 4 4 3 2" xfId="29629" xr:uid="{00000000-0005-0000-0000-0000A0100000}"/>
    <cellStyle name="Calculation 3 4 4 4" xfId="21696" xr:uid="{00000000-0005-0000-0000-0000A1100000}"/>
    <cellStyle name="Calculation 3 4 5" xfId="2459" xr:uid="{00000000-0005-0000-0000-0000A2100000}"/>
    <cellStyle name="Calculation 3 4 5 2" xfId="6565" xr:uid="{00000000-0005-0000-0000-0000A3100000}"/>
    <cellStyle name="Calculation 3 4 5 2 2" xfId="22903" xr:uid="{00000000-0005-0000-0000-0000A4100000}"/>
    <cellStyle name="Calculation 3 4 5 3" xfId="12798" xr:uid="{00000000-0005-0000-0000-0000A5100000}"/>
    <cellStyle name="Calculation 3 4 5 3 2" xfId="27630" xr:uid="{00000000-0005-0000-0000-0000A6100000}"/>
    <cellStyle name="Calculation 3 4 5 4" xfId="20551" xr:uid="{00000000-0005-0000-0000-0000A7100000}"/>
    <cellStyle name="Calculation 3 4 6" xfId="5583" xr:uid="{00000000-0005-0000-0000-0000A8100000}"/>
    <cellStyle name="Calculation 3 4 6 2" xfId="15818" xr:uid="{00000000-0005-0000-0000-0000A9100000}"/>
    <cellStyle name="Calculation 3 4 6 2 2" xfId="30650" xr:uid="{00000000-0005-0000-0000-0000AA100000}"/>
    <cellStyle name="Calculation 3 4 6 3" xfId="22279" xr:uid="{00000000-0005-0000-0000-0000AB100000}"/>
    <cellStyle name="Calculation 3 4 7" xfId="11828" xr:uid="{00000000-0005-0000-0000-0000AC100000}"/>
    <cellStyle name="Calculation 3 4 7 2" xfId="26660" xr:uid="{00000000-0005-0000-0000-0000AD100000}"/>
    <cellStyle name="Calculation 3 4 8" xfId="9500" xr:uid="{00000000-0005-0000-0000-0000AE100000}"/>
    <cellStyle name="Calculation 3 4 8 2" xfId="19803" xr:uid="{00000000-0005-0000-0000-0000AF100000}"/>
    <cellStyle name="Calculation 3 5" xfId="1431" xr:uid="{00000000-0005-0000-0000-0000B0100000}"/>
    <cellStyle name="Calculation 3 5 2" xfId="1932" xr:uid="{00000000-0005-0000-0000-0000B1100000}"/>
    <cellStyle name="Calculation 3 5 2 2" xfId="3935" xr:uid="{00000000-0005-0000-0000-0000B2100000}"/>
    <cellStyle name="Calculation 3 5 2 2 2" xfId="7985" xr:uid="{00000000-0005-0000-0000-0000B3100000}"/>
    <cellStyle name="Calculation 3 5 2 2 2 2" xfId="23787" xr:uid="{00000000-0005-0000-0000-0000B4100000}"/>
    <cellStyle name="Calculation 3 5 2 2 3" xfId="14268" xr:uid="{00000000-0005-0000-0000-0000B5100000}"/>
    <cellStyle name="Calculation 3 5 2 2 3 2" xfId="29100" xr:uid="{00000000-0005-0000-0000-0000B6100000}"/>
    <cellStyle name="Calculation 3 5 2 2 4" xfId="21429" xr:uid="{00000000-0005-0000-0000-0000B7100000}"/>
    <cellStyle name="Calculation 3 5 2 3" xfId="4911" xr:uid="{00000000-0005-0000-0000-0000B8100000}"/>
    <cellStyle name="Calculation 3 5 2 3 2" xfId="8950" xr:uid="{00000000-0005-0000-0000-0000B9100000}"/>
    <cellStyle name="Calculation 3 5 2 3 2 2" xfId="24416" xr:uid="{00000000-0005-0000-0000-0000BA100000}"/>
    <cellStyle name="Calculation 3 5 2 3 3" xfId="15233" xr:uid="{00000000-0005-0000-0000-0000BB100000}"/>
    <cellStyle name="Calculation 3 5 2 3 3 2" xfId="30065" xr:uid="{00000000-0005-0000-0000-0000BC100000}"/>
    <cellStyle name="Calculation 3 5 2 3 4" xfId="21946" xr:uid="{00000000-0005-0000-0000-0000BD100000}"/>
    <cellStyle name="Calculation 3 5 2 4" xfId="2901" xr:uid="{00000000-0005-0000-0000-0000BE100000}"/>
    <cellStyle name="Calculation 3 5 2 4 2" xfId="6985" xr:uid="{00000000-0005-0000-0000-0000BF100000}"/>
    <cellStyle name="Calculation 3 5 2 4 2 2" xfId="23159" xr:uid="{00000000-0005-0000-0000-0000C0100000}"/>
    <cellStyle name="Calculation 3 5 2 4 3" xfId="13239" xr:uid="{00000000-0005-0000-0000-0000C1100000}"/>
    <cellStyle name="Calculation 3 5 2 4 3 2" xfId="28071" xr:uid="{00000000-0005-0000-0000-0000C2100000}"/>
    <cellStyle name="Calculation 3 5 2 4 4" xfId="20827" xr:uid="{00000000-0005-0000-0000-0000C3100000}"/>
    <cellStyle name="Calculation 3 5 2 5" xfId="6062" xr:uid="{00000000-0005-0000-0000-0000C4100000}"/>
    <cellStyle name="Calculation 3 5 2 5 2" xfId="16249" xr:uid="{00000000-0005-0000-0000-0000C5100000}"/>
    <cellStyle name="Calculation 3 5 2 5 2 2" xfId="31081" xr:uid="{00000000-0005-0000-0000-0000C6100000}"/>
    <cellStyle name="Calculation 3 5 2 5 3" xfId="22595" xr:uid="{00000000-0005-0000-0000-0000C7100000}"/>
    <cellStyle name="Calculation 3 5 2 6" xfId="12319" xr:uid="{00000000-0005-0000-0000-0000C8100000}"/>
    <cellStyle name="Calculation 3 5 2 6 2" xfId="27151" xr:uid="{00000000-0005-0000-0000-0000C9100000}"/>
    <cellStyle name="Calculation 3 5 2 7" xfId="9916" xr:uid="{00000000-0005-0000-0000-0000CA100000}"/>
    <cellStyle name="Calculation 3 5 2 7 2" xfId="20118" xr:uid="{00000000-0005-0000-0000-0000CB100000}"/>
    <cellStyle name="Calculation 3 5 3" xfId="3606" xr:uid="{00000000-0005-0000-0000-0000CC100000}"/>
    <cellStyle name="Calculation 3 5 3 2" xfId="7667" xr:uid="{00000000-0005-0000-0000-0000CD100000}"/>
    <cellStyle name="Calculation 3 5 3 2 2" xfId="23577" xr:uid="{00000000-0005-0000-0000-0000CE100000}"/>
    <cellStyle name="Calculation 3 5 3 3" xfId="13942" xr:uid="{00000000-0005-0000-0000-0000CF100000}"/>
    <cellStyle name="Calculation 3 5 3 3 2" xfId="28774" xr:uid="{00000000-0005-0000-0000-0000D0100000}"/>
    <cellStyle name="Calculation 3 5 3 4" xfId="21247" xr:uid="{00000000-0005-0000-0000-0000D1100000}"/>
    <cellStyle name="Calculation 3 5 4" xfId="4491" xr:uid="{00000000-0005-0000-0000-0000D2100000}"/>
    <cellStyle name="Calculation 3 5 4 2" xfId="8530" xr:uid="{00000000-0005-0000-0000-0000D3100000}"/>
    <cellStyle name="Calculation 3 5 4 2 2" xfId="24156" xr:uid="{00000000-0005-0000-0000-0000D4100000}"/>
    <cellStyle name="Calculation 3 5 4 3" xfId="14818" xr:uid="{00000000-0005-0000-0000-0000D5100000}"/>
    <cellStyle name="Calculation 3 5 4 3 2" xfId="29650" xr:uid="{00000000-0005-0000-0000-0000D6100000}"/>
    <cellStyle name="Calculation 3 5 4 4" xfId="21716" xr:uid="{00000000-0005-0000-0000-0000D7100000}"/>
    <cellStyle name="Calculation 3 5 5" xfId="2481" xr:uid="{00000000-0005-0000-0000-0000D8100000}"/>
    <cellStyle name="Calculation 3 5 5 2" xfId="6587" xr:uid="{00000000-0005-0000-0000-0000D9100000}"/>
    <cellStyle name="Calculation 3 5 5 2 2" xfId="22925" xr:uid="{00000000-0005-0000-0000-0000DA100000}"/>
    <cellStyle name="Calculation 3 5 5 3" xfId="12819" xr:uid="{00000000-0005-0000-0000-0000DB100000}"/>
    <cellStyle name="Calculation 3 5 5 3 2" xfId="27651" xr:uid="{00000000-0005-0000-0000-0000DC100000}"/>
    <cellStyle name="Calculation 3 5 5 4" xfId="20571" xr:uid="{00000000-0005-0000-0000-0000DD100000}"/>
    <cellStyle name="Calculation 3 5 6" xfId="5604" xr:uid="{00000000-0005-0000-0000-0000DE100000}"/>
    <cellStyle name="Calculation 3 5 6 2" xfId="15839" xr:uid="{00000000-0005-0000-0000-0000DF100000}"/>
    <cellStyle name="Calculation 3 5 6 2 2" xfId="30671" xr:uid="{00000000-0005-0000-0000-0000E0100000}"/>
    <cellStyle name="Calculation 3 5 6 3" xfId="22300" xr:uid="{00000000-0005-0000-0000-0000E1100000}"/>
    <cellStyle name="Calculation 3 5 7" xfId="11848" xr:uid="{00000000-0005-0000-0000-0000E2100000}"/>
    <cellStyle name="Calculation 3 5 7 2" xfId="26680" xr:uid="{00000000-0005-0000-0000-0000E3100000}"/>
    <cellStyle name="Calculation 3 5 8" xfId="9521" xr:uid="{00000000-0005-0000-0000-0000E4100000}"/>
    <cellStyle name="Calculation 3 5 8 2" xfId="19823" xr:uid="{00000000-0005-0000-0000-0000E5100000}"/>
    <cellStyle name="Calculation 3 6" xfId="1723" xr:uid="{00000000-0005-0000-0000-0000E6100000}"/>
    <cellStyle name="Calculation 3 6 2" xfId="3940" xr:uid="{00000000-0005-0000-0000-0000E7100000}"/>
    <cellStyle name="Calculation 3 6 2 2" xfId="7990" xr:uid="{00000000-0005-0000-0000-0000E8100000}"/>
    <cellStyle name="Calculation 3 6 2 2 2" xfId="23791" xr:uid="{00000000-0005-0000-0000-0000E9100000}"/>
    <cellStyle name="Calculation 3 6 2 3" xfId="14273" xr:uid="{00000000-0005-0000-0000-0000EA100000}"/>
    <cellStyle name="Calculation 3 6 2 3 2" xfId="29105" xr:uid="{00000000-0005-0000-0000-0000EB100000}"/>
    <cellStyle name="Calculation 3 6 2 4" xfId="21433" xr:uid="{00000000-0005-0000-0000-0000EC100000}"/>
    <cellStyle name="Calculation 3 6 3" xfId="4716" xr:uid="{00000000-0005-0000-0000-0000ED100000}"/>
    <cellStyle name="Calculation 3 6 3 2" xfId="8755" xr:uid="{00000000-0005-0000-0000-0000EE100000}"/>
    <cellStyle name="Calculation 3 6 3 2 2" xfId="24285" xr:uid="{00000000-0005-0000-0000-0000EF100000}"/>
    <cellStyle name="Calculation 3 6 3 3" xfId="15040" xr:uid="{00000000-0005-0000-0000-0000F0100000}"/>
    <cellStyle name="Calculation 3 6 3 3 2" xfId="29872" xr:uid="{00000000-0005-0000-0000-0000F1100000}"/>
    <cellStyle name="Calculation 3 6 3 4" xfId="21823" xr:uid="{00000000-0005-0000-0000-0000F2100000}"/>
    <cellStyle name="Calculation 3 6 4" xfId="2706" xr:uid="{00000000-0005-0000-0000-0000F3100000}"/>
    <cellStyle name="Calculation 3 6 4 2" xfId="6797" xr:uid="{00000000-0005-0000-0000-0000F4100000}"/>
    <cellStyle name="Calculation 3 6 4 2 2" xfId="23036" xr:uid="{00000000-0005-0000-0000-0000F5100000}"/>
    <cellStyle name="Calculation 3 6 4 3" xfId="13044" xr:uid="{00000000-0005-0000-0000-0000F6100000}"/>
    <cellStyle name="Calculation 3 6 4 3 2" xfId="27876" xr:uid="{00000000-0005-0000-0000-0000F7100000}"/>
    <cellStyle name="Calculation 3 6 4 4" xfId="20696" xr:uid="{00000000-0005-0000-0000-0000F8100000}"/>
    <cellStyle name="Calculation 3 6 5" xfId="5855" xr:uid="{00000000-0005-0000-0000-0000F9100000}"/>
    <cellStyle name="Calculation 3 6 5 2" xfId="16047" xr:uid="{00000000-0005-0000-0000-0000FA100000}"/>
    <cellStyle name="Calculation 3 6 5 2 2" xfId="30879" xr:uid="{00000000-0005-0000-0000-0000FB100000}"/>
    <cellStyle name="Calculation 3 6 5 3" xfId="22452" xr:uid="{00000000-0005-0000-0000-0000FC100000}"/>
    <cellStyle name="Calculation 3 6 6" xfId="12117" xr:uid="{00000000-0005-0000-0000-0000FD100000}"/>
    <cellStyle name="Calculation 3 6 6 2" xfId="26949" xr:uid="{00000000-0005-0000-0000-0000FE100000}"/>
    <cellStyle name="Calculation 3 6 7" xfId="9728" xr:uid="{00000000-0005-0000-0000-0000FF100000}"/>
    <cellStyle name="Calculation 3 6 7 2" xfId="20026" xr:uid="{00000000-0005-0000-0000-000000110000}"/>
    <cellStyle name="Calculation 3 7" xfId="2228" xr:uid="{00000000-0005-0000-0000-000001110000}"/>
    <cellStyle name="Calculation 3 7 2" xfId="4145" xr:uid="{00000000-0005-0000-0000-000002110000}"/>
    <cellStyle name="Calculation 3 7 2 2" xfId="8189" xr:uid="{00000000-0005-0000-0000-000003110000}"/>
    <cellStyle name="Calculation 3 7 2 2 2" xfId="23918" xr:uid="{00000000-0005-0000-0000-000004110000}"/>
    <cellStyle name="Calculation 3 7 2 3" xfId="14477" xr:uid="{00000000-0005-0000-0000-000005110000}"/>
    <cellStyle name="Calculation 3 7 2 3 2" xfId="29309" xr:uid="{00000000-0005-0000-0000-000006110000}"/>
    <cellStyle name="Calculation 3 7 2 4" xfId="21545" xr:uid="{00000000-0005-0000-0000-000007110000}"/>
    <cellStyle name="Calculation 3 7 3" xfId="5196" xr:uid="{00000000-0005-0000-0000-000008110000}"/>
    <cellStyle name="Calculation 3 7 3 2" xfId="9235" xr:uid="{00000000-0005-0000-0000-000009110000}"/>
    <cellStyle name="Calculation 3 7 3 2 2" xfId="24573" xr:uid="{00000000-0005-0000-0000-00000A110000}"/>
    <cellStyle name="Calculation 3 7 3 3" xfId="15514" xr:uid="{00000000-0005-0000-0000-00000B110000}"/>
    <cellStyle name="Calculation 3 7 3 3 2" xfId="30346" xr:uid="{00000000-0005-0000-0000-00000C110000}"/>
    <cellStyle name="Calculation 3 7 3 4" xfId="22080" xr:uid="{00000000-0005-0000-0000-00000D110000}"/>
    <cellStyle name="Calculation 3 7 4" xfId="4226" xr:uid="{00000000-0005-0000-0000-00000E110000}"/>
    <cellStyle name="Calculation 3 7 4 2" xfId="8267" xr:uid="{00000000-0005-0000-0000-00000F110000}"/>
    <cellStyle name="Calculation 3 7 4 2 2" xfId="23962" xr:uid="{00000000-0005-0000-0000-000010110000}"/>
    <cellStyle name="Calculation 3 7 4 3" xfId="14558" xr:uid="{00000000-0005-0000-0000-000011110000}"/>
    <cellStyle name="Calculation 3 7 4 3 2" xfId="29390" xr:uid="{00000000-0005-0000-0000-000012110000}"/>
    <cellStyle name="Calculation 3 7 4 4" xfId="21587" xr:uid="{00000000-0005-0000-0000-000013110000}"/>
    <cellStyle name="Calculation 3 7 5" xfId="6342" xr:uid="{00000000-0005-0000-0000-000014110000}"/>
    <cellStyle name="Calculation 3 7 5 2" xfId="22744" xr:uid="{00000000-0005-0000-0000-000015110000}"/>
    <cellStyle name="Calculation 3 7 6" xfId="12596" xr:uid="{00000000-0005-0000-0000-000016110000}"/>
    <cellStyle name="Calculation 3 7 6 2" xfId="27428" xr:uid="{00000000-0005-0000-0000-000017110000}"/>
    <cellStyle name="Calculation 3 7 7" xfId="20423" xr:uid="{00000000-0005-0000-0000-000018110000}"/>
    <cellStyle name="Calculation 3 8" xfId="3991" xr:uid="{00000000-0005-0000-0000-000019110000}"/>
    <cellStyle name="Calculation 3 8 2" xfId="8038" xr:uid="{00000000-0005-0000-0000-00001A110000}"/>
    <cellStyle name="Calculation 3 8 2 2" xfId="23825" xr:uid="{00000000-0005-0000-0000-00001B110000}"/>
    <cellStyle name="Calculation 3 8 3" xfId="14324" xr:uid="{00000000-0005-0000-0000-00001C110000}"/>
    <cellStyle name="Calculation 3 8 3 2" xfId="29156" xr:uid="{00000000-0005-0000-0000-00001D110000}"/>
    <cellStyle name="Calculation 3 8 4" xfId="21464" xr:uid="{00000000-0005-0000-0000-00001E110000}"/>
    <cellStyle name="Calculation 3 9" xfId="3619" xr:uid="{00000000-0005-0000-0000-00001F110000}"/>
    <cellStyle name="Calculation 3 9 2" xfId="7679" xr:uid="{00000000-0005-0000-0000-000020110000}"/>
    <cellStyle name="Calculation 3 9 2 2" xfId="23589" xr:uid="{00000000-0005-0000-0000-000021110000}"/>
    <cellStyle name="Calculation 3 9 3" xfId="13954" xr:uid="{00000000-0005-0000-0000-000022110000}"/>
    <cellStyle name="Calculation 3 9 3 2" xfId="28786" xr:uid="{00000000-0005-0000-0000-000023110000}"/>
    <cellStyle name="Calculation 3 9 4" xfId="21253" xr:uid="{00000000-0005-0000-0000-000024110000}"/>
    <cellStyle name="Calculation 4" xfId="971" xr:uid="{00000000-0005-0000-0000-000025110000}"/>
    <cellStyle name="Calculation 4 10" xfId="2277" xr:uid="{00000000-0005-0000-0000-000026110000}"/>
    <cellStyle name="Calculation 4 10 2" xfId="6389" xr:uid="{00000000-0005-0000-0000-000027110000}"/>
    <cellStyle name="Calculation 4 10 2 2" xfId="22791" xr:uid="{00000000-0005-0000-0000-000028110000}"/>
    <cellStyle name="Calculation 4 10 3" xfId="12617" xr:uid="{00000000-0005-0000-0000-000029110000}"/>
    <cellStyle name="Calculation 4 10 3 2" xfId="27449" xr:uid="{00000000-0005-0000-0000-00002A110000}"/>
    <cellStyle name="Calculation 4 10 4" xfId="20443" xr:uid="{00000000-0005-0000-0000-00002B110000}"/>
    <cellStyle name="Calculation 4 11" xfId="5243" xr:uid="{00000000-0005-0000-0000-00002C110000}"/>
    <cellStyle name="Calculation 4 11 2" xfId="15559" xr:uid="{00000000-0005-0000-0000-00002D110000}"/>
    <cellStyle name="Calculation 4 11 2 2" xfId="30391" xr:uid="{00000000-0005-0000-0000-00002E110000}"/>
    <cellStyle name="Calculation 4 11 3" xfId="22100" xr:uid="{00000000-0005-0000-0000-00002F110000}"/>
    <cellStyle name="Calculation 4 12" xfId="5401" xr:uid="{00000000-0005-0000-0000-000030110000}"/>
    <cellStyle name="Calculation 4 12 2" xfId="15637" xr:uid="{00000000-0005-0000-0000-000031110000}"/>
    <cellStyle name="Calculation 4 12 2 2" xfId="30469" xr:uid="{00000000-0005-0000-0000-000032110000}"/>
    <cellStyle name="Calculation 4 12 3" xfId="22162" xr:uid="{00000000-0005-0000-0000-000033110000}"/>
    <cellStyle name="Calculation 4 13" xfId="9390" xr:uid="{00000000-0005-0000-0000-000034110000}"/>
    <cellStyle name="Calculation 4 13 2" xfId="24696" xr:uid="{00000000-0005-0000-0000-000035110000}"/>
    <cellStyle name="Calculation 4 14" xfId="6228" xr:uid="{00000000-0005-0000-0000-000036110000}"/>
    <cellStyle name="Calculation 4 14 2" xfId="18543" xr:uid="{00000000-0005-0000-0000-000037110000}"/>
    <cellStyle name="Calculation 4 2" xfId="1313" xr:uid="{00000000-0005-0000-0000-000038110000}"/>
    <cellStyle name="Calculation 4 2 2" xfId="1817" xr:uid="{00000000-0005-0000-0000-000039110000}"/>
    <cellStyle name="Calculation 4 2 2 2" xfId="4059" xr:uid="{00000000-0005-0000-0000-00003A110000}"/>
    <cellStyle name="Calculation 4 2 2 2 2" xfId="8106" xr:uid="{00000000-0005-0000-0000-00003B110000}"/>
    <cellStyle name="Calculation 4 2 2 2 2 2" xfId="23866" xr:uid="{00000000-0005-0000-0000-00003C110000}"/>
    <cellStyle name="Calculation 4 2 2 2 3" xfId="14391" xr:uid="{00000000-0005-0000-0000-00003D110000}"/>
    <cellStyle name="Calculation 4 2 2 2 3 2" xfId="29223" xr:uid="{00000000-0005-0000-0000-00003E110000}"/>
    <cellStyle name="Calculation 4 2 2 2 4" xfId="21500" xr:uid="{00000000-0005-0000-0000-00003F110000}"/>
    <cellStyle name="Calculation 4 2 2 3" xfId="4795" xr:uid="{00000000-0005-0000-0000-000040110000}"/>
    <cellStyle name="Calculation 4 2 2 3 2" xfId="8834" xr:uid="{00000000-0005-0000-0000-000041110000}"/>
    <cellStyle name="Calculation 4 2 2 3 2 2" xfId="24332" xr:uid="{00000000-0005-0000-0000-000042110000}"/>
    <cellStyle name="Calculation 4 2 2 3 3" xfId="15119" xr:uid="{00000000-0005-0000-0000-000043110000}"/>
    <cellStyle name="Calculation 4 2 2 3 3 2" xfId="29951" xr:uid="{00000000-0005-0000-0000-000044110000}"/>
    <cellStyle name="Calculation 4 2 2 3 4" xfId="21870" xr:uid="{00000000-0005-0000-0000-000045110000}"/>
    <cellStyle name="Calculation 4 2 2 4" xfId="2785" xr:uid="{00000000-0005-0000-0000-000046110000}"/>
    <cellStyle name="Calculation 4 2 2 4 2" xfId="6876" xr:uid="{00000000-0005-0000-0000-000047110000}"/>
    <cellStyle name="Calculation 4 2 2 4 2 2" xfId="23083" xr:uid="{00000000-0005-0000-0000-000048110000}"/>
    <cellStyle name="Calculation 4 2 2 4 3" xfId="13123" xr:uid="{00000000-0005-0000-0000-000049110000}"/>
    <cellStyle name="Calculation 4 2 2 4 3 2" xfId="27955" xr:uid="{00000000-0005-0000-0000-00004A110000}"/>
    <cellStyle name="Calculation 4 2 2 4 4" xfId="20743" xr:uid="{00000000-0005-0000-0000-00004B110000}"/>
    <cellStyle name="Calculation 4 2 2 5" xfId="5949" xr:uid="{00000000-0005-0000-0000-00004C110000}"/>
    <cellStyle name="Calculation 4 2 2 5 2" xfId="16141" xr:uid="{00000000-0005-0000-0000-00004D110000}"/>
    <cellStyle name="Calculation 4 2 2 5 2 2" xfId="30973" xr:uid="{00000000-0005-0000-0000-00004E110000}"/>
    <cellStyle name="Calculation 4 2 2 5 3" xfId="22514" xr:uid="{00000000-0005-0000-0000-00004F110000}"/>
    <cellStyle name="Calculation 4 2 2 6" xfId="12211" xr:uid="{00000000-0005-0000-0000-000050110000}"/>
    <cellStyle name="Calculation 4 2 2 6 2" xfId="27043" xr:uid="{00000000-0005-0000-0000-000051110000}"/>
    <cellStyle name="Calculation 4 2 2 7" xfId="9807" xr:uid="{00000000-0005-0000-0000-000052110000}"/>
    <cellStyle name="Calculation 4 2 2 7 2" xfId="20058" xr:uid="{00000000-0005-0000-0000-000053110000}"/>
    <cellStyle name="Calculation 4 2 3" xfId="3947" xr:uid="{00000000-0005-0000-0000-000054110000}"/>
    <cellStyle name="Calculation 4 2 3 2" xfId="7997" xr:uid="{00000000-0005-0000-0000-000055110000}"/>
    <cellStyle name="Calculation 4 2 3 2 2" xfId="23797" xr:uid="{00000000-0005-0000-0000-000056110000}"/>
    <cellStyle name="Calculation 4 2 3 3" xfId="14280" xr:uid="{00000000-0005-0000-0000-000057110000}"/>
    <cellStyle name="Calculation 4 2 3 3 2" xfId="29112" xr:uid="{00000000-0005-0000-0000-000058110000}"/>
    <cellStyle name="Calculation 4 2 3 4" xfId="21439" xr:uid="{00000000-0005-0000-0000-000059110000}"/>
    <cellStyle name="Calculation 4 2 4" xfId="4375" xr:uid="{00000000-0005-0000-0000-00005A110000}"/>
    <cellStyle name="Calculation 4 2 4 2" xfId="8414" xr:uid="{00000000-0005-0000-0000-00005B110000}"/>
    <cellStyle name="Calculation 4 2 4 2 2" xfId="24072" xr:uid="{00000000-0005-0000-0000-00005C110000}"/>
    <cellStyle name="Calculation 4 2 4 3" xfId="14704" xr:uid="{00000000-0005-0000-0000-00005D110000}"/>
    <cellStyle name="Calculation 4 2 4 3 2" xfId="29536" xr:uid="{00000000-0005-0000-0000-00005E110000}"/>
    <cellStyle name="Calculation 4 2 4 4" xfId="21640" xr:uid="{00000000-0005-0000-0000-00005F110000}"/>
    <cellStyle name="Calculation 4 2 5" xfId="2365" xr:uid="{00000000-0005-0000-0000-000060110000}"/>
    <cellStyle name="Calculation 4 2 5 2" xfId="6477" xr:uid="{00000000-0005-0000-0000-000061110000}"/>
    <cellStyle name="Calculation 4 2 5 2 2" xfId="22847" xr:uid="{00000000-0005-0000-0000-000062110000}"/>
    <cellStyle name="Calculation 4 2 5 3" xfId="12704" xr:uid="{00000000-0005-0000-0000-000063110000}"/>
    <cellStyle name="Calculation 4 2 5 3 2" xfId="27536" xr:uid="{00000000-0005-0000-0000-000064110000}"/>
    <cellStyle name="Calculation 4 2 5 4" xfId="20489" xr:uid="{00000000-0005-0000-0000-000065110000}"/>
    <cellStyle name="Calculation 4 2 6" xfId="5490" xr:uid="{00000000-0005-0000-0000-000066110000}"/>
    <cellStyle name="Calculation 4 2 6 2" xfId="15725" xr:uid="{00000000-0005-0000-0000-000067110000}"/>
    <cellStyle name="Calculation 4 2 6 2 2" xfId="30557" xr:uid="{00000000-0005-0000-0000-000068110000}"/>
    <cellStyle name="Calculation 4 2 6 3" xfId="22218" xr:uid="{00000000-0005-0000-0000-000069110000}"/>
    <cellStyle name="Calculation 4 2 7" xfId="11740" xr:uid="{00000000-0005-0000-0000-00006A110000}"/>
    <cellStyle name="Calculation 4 2 7 2" xfId="26572" xr:uid="{00000000-0005-0000-0000-00006B110000}"/>
    <cellStyle name="Calculation 4 2 8" xfId="9411" xr:uid="{00000000-0005-0000-0000-00006C110000}"/>
    <cellStyle name="Calculation 4 2 8 2" xfId="19715" xr:uid="{00000000-0005-0000-0000-00006D110000}"/>
    <cellStyle name="Calculation 4 3" xfId="1447" xr:uid="{00000000-0005-0000-0000-00006E110000}"/>
    <cellStyle name="Calculation 4 3 2" xfId="1948" xr:uid="{00000000-0005-0000-0000-00006F110000}"/>
    <cellStyle name="Calculation 4 3 2 2" xfId="3980" xr:uid="{00000000-0005-0000-0000-000070110000}"/>
    <cellStyle name="Calculation 4 3 2 2 2" xfId="8029" xr:uid="{00000000-0005-0000-0000-000071110000}"/>
    <cellStyle name="Calculation 4 3 2 2 2 2" xfId="23819" xr:uid="{00000000-0005-0000-0000-000072110000}"/>
    <cellStyle name="Calculation 4 3 2 2 3" xfId="14313" xr:uid="{00000000-0005-0000-0000-000073110000}"/>
    <cellStyle name="Calculation 4 3 2 2 3 2" xfId="29145" xr:uid="{00000000-0005-0000-0000-000074110000}"/>
    <cellStyle name="Calculation 4 3 2 2 4" xfId="21457" xr:uid="{00000000-0005-0000-0000-000075110000}"/>
    <cellStyle name="Calculation 4 3 2 3" xfId="4927" xr:uid="{00000000-0005-0000-0000-000076110000}"/>
    <cellStyle name="Calculation 4 3 2 3 2" xfId="8966" xr:uid="{00000000-0005-0000-0000-000077110000}"/>
    <cellStyle name="Calculation 4 3 2 3 2 2" xfId="24432" xr:uid="{00000000-0005-0000-0000-000078110000}"/>
    <cellStyle name="Calculation 4 3 2 3 3" xfId="15249" xr:uid="{00000000-0005-0000-0000-000079110000}"/>
    <cellStyle name="Calculation 4 3 2 3 3 2" xfId="30081" xr:uid="{00000000-0005-0000-0000-00007A110000}"/>
    <cellStyle name="Calculation 4 3 2 3 4" xfId="21962" xr:uid="{00000000-0005-0000-0000-00007B110000}"/>
    <cellStyle name="Calculation 4 3 2 4" xfId="2917" xr:uid="{00000000-0005-0000-0000-00007C110000}"/>
    <cellStyle name="Calculation 4 3 2 4 2" xfId="7001" xr:uid="{00000000-0005-0000-0000-00007D110000}"/>
    <cellStyle name="Calculation 4 3 2 4 2 2" xfId="23175" xr:uid="{00000000-0005-0000-0000-00007E110000}"/>
    <cellStyle name="Calculation 4 3 2 4 3" xfId="13255" xr:uid="{00000000-0005-0000-0000-00007F110000}"/>
    <cellStyle name="Calculation 4 3 2 4 3 2" xfId="28087" xr:uid="{00000000-0005-0000-0000-000080110000}"/>
    <cellStyle name="Calculation 4 3 2 4 4" xfId="20843" xr:uid="{00000000-0005-0000-0000-000081110000}"/>
    <cellStyle name="Calculation 4 3 2 5" xfId="6078" xr:uid="{00000000-0005-0000-0000-000082110000}"/>
    <cellStyle name="Calculation 4 3 2 5 2" xfId="16265" xr:uid="{00000000-0005-0000-0000-000083110000}"/>
    <cellStyle name="Calculation 4 3 2 5 2 2" xfId="31097" xr:uid="{00000000-0005-0000-0000-000084110000}"/>
    <cellStyle name="Calculation 4 3 2 5 3" xfId="22611" xr:uid="{00000000-0005-0000-0000-000085110000}"/>
    <cellStyle name="Calculation 4 3 2 6" xfId="12335" xr:uid="{00000000-0005-0000-0000-000086110000}"/>
    <cellStyle name="Calculation 4 3 2 6 2" xfId="27167" xr:uid="{00000000-0005-0000-0000-000087110000}"/>
    <cellStyle name="Calculation 4 3 2 7" xfId="9932" xr:uid="{00000000-0005-0000-0000-000088110000}"/>
    <cellStyle name="Calculation 4 3 2 7 2" xfId="20134" xr:uid="{00000000-0005-0000-0000-000089110000}"/>
    <cellStyle name="Calculation 4 3 3" xfId="4053" xr:uid="{00000000-0005-0000-0000-00008A110000}"/>
    <cellStyle name="Calculation 4 3 3 2" xfId="8100" xr:uid="{00000000-0005-0000-0000-00008B110000}"/>
    <cellStyle name="Calculation 4 3 3 2 2" xfId="23862" xr:uid="{00000000-0005-0000-0000-00008C110000}"/>
    <cellStyle name="Calculation 4 3 3 3" xfId="14385" xr:uid="{00000000-0005-0000-0000-00008D110000}"/>
    <cellStyle name="Calculation 4 3 3 3 2" xfId="29217" xr:uid="{00000000-0005-0000-0000-00008E110000}"/>
    <cellStyle name="Calculation 4 3 3 4" xfId="21496" xr:uid="{00000000-0005-0000-0000-00008F110000}"/>
    <cellStyle name="Calculation 4 3 4" xfId="4507" xr:uid="{00000000-0005-0000-0000-000090110000}"/>
    <cellStyle name="Calculation 4 3 4 2" xfId="8546" xr:uid="{00000000-0005-0000-0000-000091110000}"/>
    <cellStyle name="Calculation 4 3 4 2 2" xfId="24172" xr:uid="{00000000-0005-0000-0000-000092110000}"/>
    <cellStyle name="Calculation 4 3 4 3" xfId="14834" xr:uid="{00000000-0005-0000-0000-000093110000}"/>
    <cellStyle name="Calculation 4 3 4 3 2" xfId="29666" xr:uid="{00000000-0005-0000-0000-000094110000}"/>
    <cellStyle name="Calculation 4 3 4 4" xfId="21732" xr:uid="{00000000-0005-0000-0000-000095110000}"/>
    <cellStyle name="Calculation 4 3 5" xfId="2497" xr:uid="{00000000-0005-0000-0000-000096110000}"/>
    <cellStyle name="Calculation 4 3 5 2" xfId="6603" xr:uid="{00000000-0005-0000-0000-000097110000}"/>
    <cellStyle name="Calculation 4 3 5 2 2" xfId="22941" xr:uid="{00000000-0005-0000-0000-000098110000}"/>
    <cellStyle name="Calculation 4 3 5 3" xfId="12835" xr:uid="{00000000-0005-0000-0000-000099110000}"/>
    <cellStyle name="Calculation 4 3 5 3 2" xfId="27667" xr:uid="{00000000-0005-0000-0000-00009A110000}"/>
    <cellStyle name="Calculation 4 3 5 4" xfId="20587" xr:uid="{00000000-0005-0000-0000-00009B110000}"/>
    <cellStyle name="Calculation 4 3 6" xfId="5620" xr:uid="{00000000-0005-0000-0000-00009C110000}"/>
    <cellStyle name="Calculation 4 3 6 2" xfId="15855" xr:uid="{00000000-0005-0000-0000-00009D110000}"/>
    <cellStyle name="Calculation 4 3 6 2 2" xfId="30687" xr:uid="{00000000-0005-0000-0000-00009E110000}"/>
    <cellStyle name="Calculation 4 3 6 3" xfId="22316" xr:uid="{00000000-0005-0000-0000-00009F110000}"/>
    <cellStyle name="Calculation 4 3 7" xfId="11864" xr:uid="{00000000-0005-0000-0000-0000A0110000}"/>
    <cellStyle name="Calculation 4 3 7 2" xfId="26696" xr:uid="{00000000-0005-0000-0000-0000A1110000}"/>
    <cellStyle name="Calculation 4 3 8" xfId="9537" xr:uid="{00000000-0005-0000-0000-0000A2110000}"/>
    <cellStyle name="Calculation 4 3 8 2" xfId="19839" xr:uid="{00000000-0005-0000-0000-0000A3110000}"/>
    <cellStyle name="Calculation 4 4" xfId="1419" xr:uid="{00000000-0005-0000-0000-0000A4110000}"/>
    <cellStyle name="Calculation 4 4 2" xfId="1921" xr:uid="{00000000-0005-0000-0000-0000A5110000}"/>
    <cellStyle name="Calculation 4 4 2 2" xfId="3765" xr:uid="{00000000-0005-0000-0000-0000A6110000}"/>
    <cellStyle name="Calculation 4 4 2 2 2" xfId="7821" xr:uid="{00000000-0005-0000-0000-0000A7110000}"/>
    <cellStyle name="Calculation 4 4 2 2 2 2" xfId="23682" xr:uid="{00000000-0005-0000-0000-0000A8110000}"/>
    <cellStyle name="Calculation 4 4 2 2 3" xfId="14100" xr:uid="{00000000-0005-0000-0000-0000A9110000}"/>
    <cellStyle name="Calculation 4 4 2 2 3 2" xfId="28932" xr:uid="{00000000-0005-0000-0000-0000AA110000}"/>
    <cellStyle name="Calculation 4 4 2 2 4" xfId="21338" xr:uid="{00000000-0005-0000-0000-0000AB110000}"/>
    <cellStyle name="Calculation 4 4 2 3" xfId="4899" xr:uid="{00000000-0005-0000-0000-0000AC110000}"/>
    <cellStyle name="Calculation 4 4 2 3 2" xfId="8938" xr:uid="{00000000-0005-0000-0000-0000AD110000}"/>
    <cellStyle name="Calculation 4 4 2 3 2 2" xfId="24404" xr:uid="{00000000-0005-0000-0000-0000AE110000}"/>
    <cellStyle name="Calculation 4 4 2 3 3" xfId="15222" xr:uid="{00000000-0005-0000-0000-0000AF110000}"/>
    <cellStyle name="Calculation 4 4 2 3 3 2" xfId="30054" xr:uid="{00000000-0005-0000-0000-0000B0110000}"/>
    <cellStyle name="Calculation 4 4 2 3 4" xfId="21936" xr:uid="{00000000-0005-0000-0000-0000B1110000}"/>
    <cellStyle name="Calculation 4 4 2 4" xfId="2889" xr:uid="{00000000-0005-0000-0000-0000B2110000}"/>
    <cellStyle name="Calculation 4 4 2 4 2" xfId="6974" xr:uid="{00000000-0005-0000-0000-0000B3110000}"/>
    <cellStyle name="Calculation 4 4 2 4 2 2" xfId="23149" xr:uid="{00000000-0005-0000-0000-0000B4110000}"/>
    <cellStyle name="Calculation 4 4 2 4 3" xfId="13227" xr:uid="{00000000-0005-0000-0000-0000B5110000}"/>
    <cellStyle name="Calculation 4 4 2 4 3 2" xfId="28059" xr:uid="{00000000-0005-0000-0000-0000B6110000}"/>
    <cellStyle name="Calculation 4 4 2 4 4" xfId="20815" xr:uid="{00000000-0005-0000-0000-0000B7110000}"/>
    <cellStyle name="Calculation 4 4 2 5" xfId="6052" xr:uid="{00000000-0005-0000-0000-0000B8110000}"/>
    <cellStyle name="Calculation 4 4 2 5 2" xfId="16239" xr:uid="{00000000-0005-0000-0000-0000B9110000}"/>
    <cellStyle name="Calculation 4 4 2 5 2 2" xfId="31071" xr:uid="{00000000-0005-0000-0000-0000BA110000}"/>
    <cellStyle name="Calculation 4 4 2 5 3" xfId="22585" xr:uid="{00000000-0005-0000-0000-0000BB110000}"/>
    <cellStyle name="Calculation 4 4 2 6" xfId="12309" xr:uid="{00000000-0005-0000-0000-0000BC110000}"/>
    <cellStyle name="Calculation 4 4 2 6 2" xfId="27141" xr:uid="{00000000-0005-0000-0000-0000BD110000}"/>
    <cellStyle name="Calculation 4 4 2 7" xfId="9905" xr:uid="{00000000-0005-0000-0000-0000BE110000}"/>
    <cellStyle name="Calculation 4 4 2 7 2" xfId="20108" xr:uid="{00000000-0005-0000-0000-0000BF110000}"/>
    <cellStyle name="Calculation 4 4 3" xfId="3783" xr:uid="{00000000-0005-0000-0000-0000C0110000}"/>
    <cellStyle name="Calculation 4 4 3 2" xfId="7838" xr:uid="{00000000-0005-0000-0000-0000C1110000}"/>
    <cellStyle name="Calculation 4 4 3 2 2" xfId="23694" xr:uid="{00000000-0005-0000-0000-0000C2110000}"/>
    <cellStyle name="Calculation 4 4 3 3" xfId="14118" xr:uid="{00000000-0005-0000-0000-0000C3110000}"/>
    <cellStyle name="Calculation 4 4 3 3 2" xfId="28950" xr:uid="{00000000-0005-0000-0000-0000C4110000}"/>
    <cellStyle name="Calculation 4 4 3 4" xfId="21346" xr:uid="{00000000-0005-0000-0000-0000C5110000}"/>
    <cellStyle name="Calculation 4 4 4" xfId="4479" xr:uid="{00000000-0005-0000-0000-0000C6110000}"/>
    <cellStyle name="Calculation 4 4 4 2" xfId="8518" xr:uid="{00000000-0005-0000-0000-0000C7110000}"/>
    <cellStyle name="Calculation 4 4 4 2 2" xfId="24144" xr:uid="{00000000-0005-0000-0000-0000C8110000}"/>
    <cellStyle name="Calculation 4 4 4 3" xfId="14807" xr:uid="{00000000-0005-0000-0000-0000C9110000}"/>
    <cellStyle name="Calculation 4 4 4 3 2" xfId="29639" xr:uid="{00000000-0005-0000-0000-0000CA110000}"/>
    <cellStyle name="Calculation 4 4 4 4" xfId="21706" xr:uid="{00000000-0005-0000-0000-0000CB110000}"/>
    <cellStyle name="Calculation 4 4 5" xfId="2469" xr:uid="{00000000-0005-0000-0000-0000CC110000}"/>
    <cellStyle name="Calculation 4 4 5 2" xfId="6575" xr:uid="{00000000-0005-0000-0000-0000CD110000}"/>
    <cellStyle name="Calculation 4 4 5 2 2" xfId="22913" xr:uid="{00000000-0005-0000-0000-0000CE110000}"/>
    <cellStyle name="Calculation 4 4 5 3" xfId="12808" xr:uid="{00000000-0005-0000-0000-0000CF110000}"/>
    <cellStyle name="Calculation 4 4 5 3 2" xfId="27640" xr:uid="{00000000-0005-0000-0000-0000D0110000}"/>
    <cellStyle name="Calculation 4 4 5 4" xfId="20561" xr:uid="{00000000-0005-0000-0000-0000D1110000}"/>
    <cellStyle name="Calculation 4 4 6" xfId="5593" xr:uid="{00000000-0005-0000-0000-0000D2110000}"/>
    <cellStyle name="Calculation 4 4 6 2" xfId="15828" xr:uid="{00000000-0005-0000-0000-0000D3110000}"/>
    <cellStyle name="Calculation 4 4 6 2 2" xfId="30660" xr:uid="{00000000-0005-0000-0000-0000D4110000}"/>
    <cellStyle name="Calculation 4 4 6 3" xfId="22289" xr:uid="{00000000-0005-0000-0000-0000D5110000}"/>
    <cellStyle name="Calculation 4 4 7" xfId="11838" xr:uid="{00000000-0005-0000-0000-0000D6110000}"/>
    <cellStyle name="Calculation 4 4 7 2" xfId="26670" xr:uid="{00000000-0005-0000-0000-0000D7110000}"/>
    <cellStyle name="Calculation 4 4 8" xfId="9510" xr:uid="{00000000-0005-0000-0000-0000D8110000}"/>
    <cellStyle name="Calculation 4 4 8 2" xfId="19813" xr:uid="{00000000-0005-0000-0000-0000D9110000}"/>
    <cellStyle name="Calculation 4 5" xfId="1432" xr:uid="{00000000-0005-0000-0000-0000DA110000}"/>
    <cellStyle name="Calculation 4 5 2" xfId="1933" xr:uid="{00000000-0005-0000-0000-0000DB110000}"/>
    <cellStyle name="Calculation 4 5 2 2" xfId="4070" xr:uid="{00000000-0005-0000-0000-0000DC110000}"/>
    <cellStyle name="Calculation 4 5 2 2 2" xfId="8117" xr:uid="{00000000-0005-0000-0000-0000DD110000}"/>
    <cellStyle name="Calculation 4 5 2 2 2 2" xfId="23870" xr:uid="{00000000-0005-0000-0000-0000DE110000}"/>
    <cellStyle name="Calculation 4 5 2 2 3" xfId="14402" xr:uid="{00000000-0005-0000-0000-0000DF110000}"/>
    <cellStyle name="Calculation 4 5 2 2 3 2" xfId="29234" xr:uid="{00000000-0005-0000-0000-0000E0110000}"/>
    <cellStyle name="Calculation 4 5 2 2 4" xfId="21504" xr:uid="{00000000-0005-0000-0000-0000E1110000}"/>
    <cellStyle name="Calculation 4 5 2 3" xfId="4912" xr:uid="{00000000-0005-0000-0000-0000E2110000}"/>
    <cellStyle name="Calculation 4 5 2 3 2" xfId="8951" xr:uid="{00000000-0005-0000-0000-0000E3110000}"/>
    <cellStyle name="Calculation 4 5 2 3 2 2" xfId="24417" xr:uid="{00000000-0005-0000-0000-0000E4110000}"/>
    <cellStyle name="Calculation 4 5 2 3 3" xfId="15234" xr:uid="{00000000-0005-0000-0000-0000E5110000}"/>
    <cellStyle name="Calculation 4 5 2 3 3 2" xfId="30066" xr:uid="{00000000-0005-0000-0000-0000E6110000}"/>
    <cellStyle name="Calculation 4 5 2 3 4" xfId="21947" xr:uid="{00000000-0005-0000-0000-0000E7110000}"/>
    <cellStyle name="Calculation 4 5 2 4" xfId="2902" xr:uid="{00000000-0005-0000-0000-0000E8110000}"/>
    <cellStyle name="Calculation 4 5 2 4 2" xfId="6986" xr:uid="{00000000-0005-0000-0000-0000E9110000}"/>
    <cellStyle name="Calculation 4 5 2 4 2 2" xfId="23160" xr:uid="{00000000-0005-0000-0000-0000EA110000}"/>
    <cellStyle name="Calculation 4 5 2 4 3" xfId="13240" xr:uid="{00000000-0005-0000-0000-0000EB110000}"/>
    <cellStyle name="Calculation 4 5 2 4 3 2" xfId="28072" xr:uid="{00000000-0005-0000-0000-0000EC110000}"/>
    <cellStyle name="Calculation 4 5 2 4 4" xfId="20828" xr:uid="{00000000-0005-0000-0000-0000ED110000}"/>
    <cellStyle name="Calculation 4 5 2 5" xfId="6063" xr:uid="{00000000-0005-0000-0000-0000EE110000}"/>
    <cellStyle name="Calculation 4 5 2 5 2" xfId="16250" xr:uid="{00000000-0005-0000-0000-0000EF110000}"/>
    <cellStyle name="Calculation 4 5 2 5 2 2" xfId="31082" xr:uid="{00000000-0005-0000-0000-0000F0110000}"/>
    <cellStyle name="Calculation 4 5 2 5 3" xfId="22596" xr:uid="{00000000-0005-0000-0000-0000F1110000}"/>
    <cellStyle name="Calculation 4 5 2 6" xfId="12320" xr:uid="{00000000-0005-0000-0000-0000F2110000}"/>
    <cellStyle name="Calculation 4 5 2 6 2" xfId="27152" xr:uid="{00000000-0005-0000-0000-0000F3110000}"/>
    <cellStyle name="Calculation 4 5 2 7" xfId="9917" xr:uid="{00000000-0005-0000-0000-0000F4110000}"/>
    <cellStyle name="Calculation 4 5 2 7 2" xfId="20119" xr:uid="{00000000-0005-0000-0000-0000F5110000}"/>
    <cellStyle name="Calculation 4 5 3" xfId="3179" xr:uid="{00000000-0005-0000-0000-0000F6110000}"/>
    <cellStyle name="Calculation 4 5 3 2" xfId="7243" xr:uid="{00000000-0005-0000-0000-0000F7110000}"/>
    <cellStyle name="Calculation 4 5 3 2 2" xfId="23301" xr:uid="{00000000-0005-0000-0000-0000F8110000}"/>
    <cellStyle name="Calculation 4 5 3 3" xfId="13517" xr:uid="{00000000-0005-0000-0000-0000F9110000}"/>
    <cellStyle name="Calculation 4 5 3 3 2" xfId="28349" xr:uid="{00000000-0005-0000-0000-0000FA110000}"/>
    <cellStyle name="Calculation 4 5 3 4" xfId="20991" xr:uid="{00000000-0005-0000-0000-0000FB110000}"/>
    <cellStyle name="Calculation 4 5 4" xfId="4492" xr:uid="{00000000-0005-0000-0000-0000FC110000}"/>
    <cellStyle name="Calculation 4 5 4 2" xfId="8531" xr:uid="{00000000-0005-0000-0000-0000FD110000}"/>
    <cellStyle name="Calculation 4 5 4 2 2" xfId="24157" xr:uid="{00000000-0005-0000-0000-0000FE110000}"/>
    <cellStyle name="Calculation 4 5 4 3" xfId="14819" xr:uid="{00000000-0005-0000-0000-0000FF110000}"/>
    <cellStyle name="Calculation 4 5 4 3 2" xfId="29651" xr:uid="{00000000-0005-0000-0000-000000120000}"/>
    <cellStyle name="Calculation 4 5 4 4" xfId="21717" xr:uid="{00000000-0005-0000-0000-000001120000}"/>
    <cellStyle name="Calculation 4 5 5" xfId="2482" xr:uid="{00000000-0005-0000-0000-000002120000}"/>
    <cellStyle name="Calculation 4 5 5 2" xfId="6588" xr:uid="{00000000-0005-0000-0000-000003120000}"/>
    <cellStyle name="Calculation 4 5 5 2 2" xfId="22926" xr:uid="{00000000-0005-0000-0000-000004120000}"/>
    <cellStyle name="Calculation 4 5 5 3" xfId="12820" xr:uid="{00000000-0005-0000-0000-000005120000}"/>
    <cellStyle name="Calculation 4 5 5 3 2" xfId="27652" xr:uid="{00000000-0005-0000-0000-000006120000}"/>
    <cellStyle name="Calculation 4 5 5 4" xfId="20572" xr:uid="{00000000-0005-0000-0000-000007120000}"/>
    <cellStyle name="Calculation 4 5 6" xfId="5605" xr:uid="{00000000-0005-0000-0000-000008120000}"/>
    <cellStyle name="Calculation 4 5 6 2" xfId="15840" xr:uid="{00000000-0005-0000-0000-000009120000}"/>
    <cellStyle name="Calculation 4 5 6 2 2" xfId="30672" xr:uid="{00000000-0005-0000-0000-00000A120000}"/>
    <cellStyle name="Calculation 4 5 6 3" xfId="22301" xr:uid="{00000000-0005-0000-0000-00000B120000}"/>
    <cellStyle name="Calculation 4 5 7" xfId="11849" xr:uid="{00000000-0005-0000-0000-00000C120000}"/>
    <cellStyle name="Calculation 4 5 7 2" xfId="26681" xr:uid="{00000000-0005-0000-0000-00000D120000}"/>
    <cellStyle name="Calculation 4 5 8" xfId="9522" xr:uid="{00000000-0005-0000-0000-00000E120000}"/>
    <cellStyle name="Calculation 4 5 8 2" xfId="19824" xr:uid="{00000000-0005-0000-0000-00000F120000}"/>
    <cellStyle name="Calculation 4 6" xfId="1724" xr:uid="{00000000-0005-0000-0000-000010120000}"/>
    <cellStyle name="Calculation 4 6 2" xfId="3622" xr:uid="{00000000-0005-0000-0000-000011120000}"/>
    <cellStyle name="Calculation 4 6 2 2" xfId="7682" xr:uid="{00000000-0005-0000-0000-000012120000}"/>
    <cellStyle name="Calculation 4 6 2 2 2" xfId="23591" xr:uid="{00000000-0005-0000-0000-000013120000}"/>
    <cellStyle name="Calculation 4 6 2 3" xfId="13957" xr:uid="{00000000-0005-0000-0000-000014120000}"/>
    <cellStyle name="Calculation 4 6 2 3 2" xfId="28789" xr:uid="{00000000-0005-0000-0000-000015120000}"/>
    <cellStyle name="Calculation 4 6 2 4" xfId="21255" xr:uid="{00000000-0005-0000-0000-000016120000}"/>
    <cellStyle name="Calculation 4 6 3" xfId="4717" xr:uid="{00000000-0005-0000-0000-000017120000}"/>
    <cellStyle name="Calculation 4 6 3 2" xfId="8756" xr:uid="{00000000-0005-0000-0000-000018120000}"/>
    <cellStyle name="Calculation 4 6 3 2 2" xfId="24286" xr:uid="{00000000-0005-0000-0000-000019120000}"/>
    <cellStyle name="Calculation 4 6 3 3" xfId="15041" xr:uid="{00000000-0005-0000-0000-00001A120000}"/>
    <cellStyle name="Calculation 4 6 3 3 2" xfId="29873" xr:uid="{00000000-0005-0000-0000-00001B120000}"/>
    <cellStyle name="Calculation 4 6 3 4" xfId="21824" xr:uid="{00000000-0005-0000-0000-00001C120000}"/>
    <cellStyle name="Calculation 4 6 4" xfId="2707" xr:uid="{00000000-0005-0000-0000-00001D120000}"/>
    <cellStyle name="Calculation 4 6 4 2" xfId="6798" xr:uid="{00000000-0005-0000-0000-00001E120000}"/>
    <cellStyle name="Calculation 4 6 4 2 2" xfId="23037" xr:uid="{00000000-0005-0000-0000-00001F120000}"/>
    <cellStyle name="Calculation 4 6 4 3" xfId="13045" xr:uid="{00000000-0005-0000-0000-000020120000}"/>
    <cellStyle name="Calculation 4 6 4 3 2" xfId="27877" xr:uid="{00000000-0005-0000-0000-000021120000}"/>
    <cellStyle name="Calculation 4 6 4 4" xfId="20697" xr:uid="{00000000-0005-0000-0000-000022120000}"/>
    <cellStyle name="Calculation 4 6 5" xfId="5856" xr:uid="{00000000-0005-0000-0000-000023120000}"/>
    <cellStyle name="Calculation 4 6 5 2" xfId="16048" xr:uid="{00000000-0005-0000-0000-000024120000}"/>
    <cellStyle name="Calculation 4 6 5 2 2" xfId="30880" xr:uid="{00000000-0005-0000-0000-000025120000}"/>
    <cellStyle name="Calculation 4 6 5 3" xfId="22453" xr:uid="{00000000-0005-0000-0000-000026120000}"/>
    <cellStyle name="Calculation 4 6 6" xfId="12118" xr:uid="{00000000-0005-0000-0000-000027120000}"/>
    <cellStyle name="Calculation 4 6 6 2" xfId="26950" xr:uid="{00000000-0005-0000-0000-000028120000}"/>
    <cellStyle name="Calculation 4 6 7" xfId="9729" xr:uid="{00000000-0005-0000-0000-000029120000}"/>
    <cellStyle name="Calculation 4 6 7 2" xfId="20027" xr:uid="{00000000-0005-0000-0000-00002A120000}"/>
    <cellStyle name="Calculation 4 7" xfId="2227" xr:uid="{00000000-0005-0000-0000-00002B120000}"/>
    <cellStyle name="Calculation 4 7 2" xfId="3544" xr:uid="{00000000-0005-0000-0000-00002C120000}"/>
    <cellStyle name="Calculation 4 7 2 2" xfId="7606" xr:uid="{00000000-0005-0000-0000-00002D120000}"/>
    <cellStyle name="Calculation 4 7 2 2 2" xfId="23544" xr:uid="{00000000-0005-0000-0000-00002E120000}"/>
    <cellStyle name="Calculation 4 7 2 3" xfId="13880" xr:uid="{00000000-0005-0000-0000-00002F120000}"/>
    <cellStyle name="Calculation 4 7 2 3 2" xfId="28712" xr:uid="{00000000-0005-0000-0000-000030120000}"/>
    <cellStyle name="Calculation 4 7 2 4" xfId="21217" xr:uid="{00000000-0005-0000-0000-000031120000}"/>
    <cellStyle name="Calculation 4 7 3" xfId="5195" xr:uid="{00000000-0005-0000-0000-000032120000}"/>
    <cellStyle name="Calculation 4 7 3 2" xfId="9234" xr:uid="{00000000-0005-0000-0000-000033120000}"/>
    <cellStyle name="Calculation 4 7 3 2 2" xfId="24572" xr:uid="{00000000-0005-0000-0000-000034120000}"/>
    <cellStyle name="Calculation 4 7 3 3" xfId="15513" xr:uid="{00000000-0005-0000-0000-000035120000}"/>
    <cellStyle name="Calculation 4 7 3 3 2" xfId="30345" xr:uid="{00000000-0005-0000-0000-000036120000}"/>
    <cellStyle name="Calculation 4 7 3 4" xfId="22079" xr:uid="{00000000-0005-0000-0000-000037120000}"/>
    <cellStyle name="Calculation 4 7 4" xfId="4225" xr:uid="{00000000-0005-0000-0000-000038120000}"/>
    <cellStyle name="Calculation 4 7 4 2" xfId="8266" xr:uid="{00000000-0005-0000-0000-000039120000}"/>
    <cellStyle name="Calculation 4 7 4 2 2" xfId="23961" xr:uid="{00000000-0005-0000-0000-00003A120000}"/>
    <cellStyle name="Calculation 4 7 4 3" xfId="14557" xr:uid="{00000000-0005-0000-0000-00003B120000}"/>
    <cellStyle name="Calculation 4 7 4 3 2" xfId="29389" xr:uid="{00000000-0005-0000-0000-00003C120000}"/>
    <cellStyle name="Calculation 4 7 4 4" xfId="21586" xr:uid="{00000000-0005-0000-0000-00003D120000}"/>
    <cellStyle name="Calculation 4 7 5" xfId="6341" xr:uid="{00000000-0005-0000-0000-00003E120000}"/>
    <cellStyle name="Calculation 4 7 5 2" xfId="22743" xr:uid="{00000000-0005-0000-0000-00003F120000}"/>
    <cellStyle name="Calculation 4 7 6" xfId="12595" xr:uid="{00000000-0005-0000-0000-000040120000}"/>
    <cellStyle name="Calculation 4 7 6 2" xfId="27427" xr:uid="{00000000-0005-0000-0000-000041120000}"/>
    <cellStyle name="Calculation 4 7 7" xfId="20422" xr:uid="{00000000-0005-0000-0000-000042120000}"/>
    <cellStyle name="Calculation 4 8" xfId="3862" xr:uid="{00000000-0005-0000-0000-000043120000}"/>
    <cellStyle name="Calculation 4 8 2" xfId="7914" xr:uid="{00000000-0005-0000-0000-000044120000}"/>
    <cellStyle name="Calculation 4 8 2 2" xfId="23747" xr:uid="{00000000-0005-0000-0000-000045120000}"/>
    <cellStyle name="Calculation 4 8 3" xfId="14197" xr:uid="{00000000-0005-0000-0000-000046120000}"/>
    <cellStyle name="Calculation 4 8 3 2" xfId="29029" xr:uid="{00000000-0005-0000-0000-000047120000}"/>
    <cellStyle name="Calculation 4 8 4" xfId="21389" xr:uid="{00000000-0005-0000-0000-000048120000}"/>
    <cellStyle name="Calculation 4 9" xfId="3194" xr:uid="{00000000-0005-0000-0000-000049120000}"/>
    <cellStyle name="Calculation 4 9 2" xfId="7258" xr:uid="{00000000-0005-0000-0000-00004A120000}"/>
    <cellStyle name="Calculation 4 9 2 2" xfId="23311" xr:uid="{00000000-0005-0000-0000-00004B120000}"/>
    <cellStyle name="Calculation 4 9 3" xfId="13532" xr:uid="{00000000-0005-0000-0000-00004C120000}"/>
    <cellStyle name="Calculation 4 9 3 2" xfId="28364" xr:uid="{00000000-0005-0000-0000-00004D120000}"/>
    <cellStyle name="Calculation 4 9 4" xfId="21001" xr:uid="{00000000-0005-0000-0000-00004E120000}"/>
    <cellStyle name="Calculation 5" xfId="972" xr:uid="{00000000-0005-0000-0000-00004F120000}"/>
    <cellStyle name="Calculation 5 10" xfId="2278" xr:uid="{00000000-0005-0000-0000-000050120000}"/>
    <cellStyle name="Calculation 5 10 2" xfId="6390" xr:uid="{00000000-0005-0000-0000-000051120000}"/>
    <cellStyle name="Calculation 5 10 2 2" xfId="22792" xr:uid="{00000000-0005-0000-0000-000052120000}"/>
    <cellStyle name="Calculation 5 10 3" xfId="12618" xr:uid="{00000000-0005-0000-0000-000053120000}"/>
    <cellStyle name="Calculation 5 10 3 2" xfId="27450" xr:uid="{00000000-0005-0000-0000-000054120000}"/>
    <cellStyle name="Calculation 5 10 4" xfId="20444" xr:uid="{00000000-0005-0000-0000-000055120000}"/>
    <cellStyle name="Calculation 5 11" xfId="5244" xr:uid="{00000000-0005-0000-0000-000056120000}"/>
    <cellStyle name="Calculation 5 11 2" xfId="15560" xr:uid="{00000000-0005-0000-0000-000057120000}"/>
    <cellStyle name="Calculation 5 11 2 2" xfId="30392" xr:uid="{00000000-0005-0000-0000-000058120000}"/>
    <cellStyle name="Calculation 5 11 3" xfId="22101" xr:uid="{00000000-0005-0000-0000-000059120000}"/>
    <cellStyle name="Calculation 5 12" xfId="5402" xr:uid="{00000000-0005-0000-0000-00005A120000}"/>
    <cellStyle name="Calculation 5 12 2" xfId="15638" xr:uid="{00000000-0005-0000-0000-00005B120000}"/>
    <cellStyle name="Calculation 5 12 2 2" xfId="30470" xr:uid="{00000000-0005-0000-0000-00005C120000}"/>
    <cellStyle name="Calculation 5 12 3" xfId="22163" xr:uid="{00000000-0005-0000-0000-00005D120000}"/>
    <cellStyle name="Calculation 5 13" xfId="9389" xr:uid="{00000000-0005-0000-0000-00005E120000}"/>
    <cellStyle name="Calculation 5 13 2" xfId="24695" xr:uid="{00000000-0005-0000-0000-00005F120000}"/>
    <cellStyle name="Calculation 5 14" xfId="5758" xr:uid="{00000000-0005-0000-0000-000060120000}"/>
    <cellStyle name="Calculation 5 14 2" xfId="18379" xr:uid="{00000000-0005-0000-0000-000061120000}"/>
    <cellStyle name="Calculation 5 2" xfId="1314" xr:uid="{00000000-0005-0000-0000-000062120000}"/>
    <cellStyle name="Calculation 5 2 2" xfId="1818" xr:uid="{00000000-0005-0000-0000-000063120000}"/>
    <cellStyle name="Calculation 5 2 2 2" xfId="3515" xr:uid="{00000000-0005-0000-0000-000064120000}"/>
    <cellStyle name="Calculation 5 2 2 2 2" xfId="7577" xr:uid="{00000000-0005-0000-0000-000065120000}"/>
    <cellStyle name="Calculation 5 2 2 2 2 2" xfId="23527" xr:uid="{00000000-0005-0000-0000-000066120000}"/>
    <cellStyle name="Calculation 5 2 2 2 3" xfId="13852" xr:uid="{00000000-0005-0000-0000-000067120000}"/>
    <cellStyle name="Calculation 5 2 2 2 3 2" xfId="28684" xr:uid="{00000000-0005-0000-0000-000068120000}"/>
    <cellStyle name="Calculation 5 2 2 2 4" xfId="21202" xr:uid="{00000000-0005-0000-0000-000069120000}"/>
    <cellStyle name="Calculation 5 2 2 3" xfId="4796" xr:uid="{00000000-0005-0000-0000-00006A120000}"/>
    <cellStyle name="Calculation 5 2 2 3 2" xfId="8835" xr:uid="{00000000-0005-0000-0000-00006B120000}"/>
    <cellStyle name="Calculation 5 2 2 3 2 2" xfId="24333" xr:uid="{00000000-0005-0000-0000-00006C120000}"/>
    <cellStyle name="Calculation 5 2 2 3 3" xfId="15120" xr:uid="{00000000-0005-0000-0000-00006D120000}"/>
    <cellStyle name="Calculation 5 2 2 3 3 2" xfId="29952" xr:uid="{00000000-0005-0000-0000-00006E120000}"/>
    <cellStyle name="Calculation 5 2 2 3 4" xfId="21871" xr:uid="{00000000-0005-0000-0000-00006F120000}"/>
    <cellStyle name="Calculation 5 2 2 4" xfId="2786" xr:uid="{00000000-0005-0000-0000-000070120000}"/>
    <cellStyle name="Calculation 5 2 2 4 2" xfId="6877" xr:uid="{00000000-0005-0000-0000-000071120000}"/>
    <cellStyle name="Calculation 5 2 2 4 2 2" xfId="23084" xr:uid="{00000000-0005-0000-0000-000072120000}"/>
    <cellStyle name="Calculation 5 2 2 4 3" xfId="13124" xr:uid="{00000000-0005-0000-0000-000073120000}"/>
    <cellStyle name="Calculation 5 2 2 4 3 2" xfId="27956" xr:uid="{00000000-0005-0000-0000-000074120000}"/>
    <cellStyle name="Calculation 5 2 2 4 4" xfId="20744" xr:uid="{00000000-0005-0000-0000-000075120000}"/>
    <cellStyle name="Calculation 5 2 2 5" xfId="5950" xr:uid="{00000000-0005-0000-0000-000076120000}"/>
    <cellStyle name="Calculation 5 2 2 5 2" xfId="16142" xr:uid="{00000000-0005-0000-0000-000077120000}"/>
    <cellStyle name="Calculation 5 2 2 5 2 2" xfId="30974" xr:uid="{00000000-0005-0000-0000-000078120000}"/>
    <cellStyle name="Calculation 5 2 2 5 3" xfId="22515" xr:uid="{00000000-0005-0000-0000-000079120000}"/>
    <cellStyle name="Calculation 5 2 2 6" xfId="12212" xr:uid="{00000000-0005-0000-0000-00007A120000}"/>
    <cellStyle name="Calculation 5 2 2 6 2" xfId="27044" xr:uid="{00000000-0005-0000-0000-00007B120000}"/>
    <cellStyle name="Calculation 5 2 2 7" xfId="9808" xr:uid="{00000000-0005-0000-0000-00007C120000}"/>
    <cellStyle name="Calculation 5 2 2 7 2" xfId="20059" xr:uid="{00000000-0005-0000-0000-00007D120000}"/>
    <cellStyle name="Calculation 5 2 3" xfId="3464" xr:uid="{00000000-0005-0000-0000-00007E120000}"/>
    <cellStyle name="Calculation 5 2 3 2" xfId="7527" xr:uid="{00000000-0005-0000-0000-00007F120000}"/>
    <cellStyle name="Calculation 5 2 3 2 2" xfId="23494" xr:uid="{00000000-0005-0000-0000-000080120000}"/>
    <cellStyle name="Calculation 5 2 3 3" xfId="13801" xr:uid="{00000000-0005-0000-0000-000081120000}"/>
    <cellStyle name="Calculation 5 2 3 3 2" xfId="28633" xr:uid="{00000000-0005-0000-0000-000082120000}"/>
    <cellStyle name="Calculation 5 2 3 4" xfId="21169" xr:uid="{00000000-0005-0000-0000-000083120000}"/>
    <cellStyle name="Calculation 5 2 4" xfId="4376" xr:uid="{00000000-0005-0000-0000-000084120000}"/>
    <cellStyle name="Calculation 5 2 4 2" xfId="8415" xr:uid="{00000000-0005-0000-0000-000085120000}"/>
    <cellStyle name="Calculation 5 2 4 2 2" xfId="24073" xr:uid="{00000000-0005-0000-0000-000086120000}"/>
    <cellStyle name="Calculation 5 2 4 3" xfId="14705" xr:uid="{00000000-0005-0000-0000-000087120000}"/>
    <cellStyle name="Calculation 5 2 4 3 2" xfId="29537" xr:uid="{00000000-0005-0000-0000-000088120000}"/>
    <cellStyle name="Calculation 5 2 4 4" xfId="21641" xr:uid="{00000000-0005-0000-0000-000089120000}"/>
    <cellStyle name="Calculation 5 2 5" xfId="2366" xr:uid="{00000000-0005-0000-0000-00008A120000}"/>
    <cellStyle name="Calculation 5 2 5 2" xfId="6478" xr:uid="{00000000-0005-0000-0000-00008B120000}"/>
    <cellStyle name="Calculation 5 2 5 2 2" xfId="22848" xr:uid="{00000000-0005-0000-0000-00008C120000}"/>
    <cellStyle name="Calculation 5 2 5 3" xfId="12705" xr:uid="{00000000-0005-0000-0000-00008D120000}"/>
    <cellStyle name="Calculation 5 2 5 3 2" xfId="27537" xr:uid="{00000000-0005-0000-0000-00008E120000}"/>
    <cellStyle name="Calculation 5 2 5 4" xfId="20490" xr:uid="{00000000-0005-0000-0000-00008F120000}"/>
    <cellStyle name="Calculation 5 2 6" xfId="5491" xr:uid="{00000000-0005-0000-0000-000090120000}"/>
    <cellStyle name="Calculation 5 2 6 2" xfId="15726" xr:uid="{00000000-0005-0000-0000-000091120000}"/>
    <cellStyle name="Calculation 5 2 6 2 2" xfId="30558" xr:uid="{00000000-0005-0000-0000-000092120000}"/>
    <cellStyle name="Calculation 5 2 6 3" xfId="22219" xr:uid="{00000000-0005-0000-0000-000093120000}"/>
    <cellStyle name="Calculation 5 2 7" xfId="11741" xr:uid="{00000000-0005-0000-0000-000094120000}"/>
    <cellStyle name="Calculation 5 2 7 2" xfId="26573" xr:uid="{00000000-0005-0000-0000-000095120000}"/>
    <cellStyle name="Calculation 5 2 8" xfId="9412" xr:uid="{00000000-0005-0000-0000-000096120000}"/>
    <cellStyle name="Calculation 5 2 8 2" xfId="19716" xr:uid="{00000000-0005-0000-0000-000097120000}"/>
    <cellStyle name="Calculation 5 3" xfId="1448" xr:uid="{00000000-0005-0000-0000-000098120000}"/>
    <cellStyle name="Calculation 5 3 2" xfId="1949" xr:uid="{00000000-0005-0000-0000-000099120000}"/>
    <cellStyle name="Calculation 5 3 2 2" xfId="3951" xr:uid="{00000000-0005-0000-0000-00009A120000}"/>
    <cellStyle name="Calculation 5 3 2 2 2" xfId="8001" xr:uid="{00000000-0005-0000-0000-00009B120000}"/>
    <cellStyle name="Calculation 5 3 2 2 2 2" xfId="23801" xr:uid="{00000000-0005-0000-0000-00009C120000}"/>
    <cellStyle name="Calculation 5 3 2 2 3" xfId="14284" xr:uid="{00000000-0005-0000-0000-00009D120000}"/>
    <cellStyle name="Calculation 5 3 2 2 3 2" xfId="29116" xr:uid="{00000000-0005-0000-0000-00009E120000}"/>
    <cellStyle name="Calculation 5 3 2 2 4" xfId="21443" xr:uid="{00000000-0005-0000-0000-00009F120000}"/>
    <cellStyle name="Calculation 5 3 2 3" xfId="4928" xr:uid="{00000000-0005-0000-0000-0000A0120000}"/>
    <cellStyle name="Calculation 5 3 2 3 2" xfId="8967" xr:uid="{00000000-0005-0000-0000-0000A1120000}"/>
    <cellStyle name="Calculation 5 3 2 3 2 2" xfId="24433" xr:uid="{00000000-0005-0000-0000-0000A2120000}"/>
    <cellStyle name="Calculation 5 3 2 3 3" xfId="15250" xr:uid="{00000000-0005-0000-0000-0000A3120000}"/>
    <cellStyle name="Calculation 5 3 2 3 3 2" xfId="30082" xr:uid="{00000000-0005-0000-0000-0000A4120000}"/>
    <cellStyle name="Calculation 5 3 2 3 4" xfId="21963" xr:uid="{00000000-0005-0000-0000-0000A5120000}"/>
    <cellStyle name="Calculation 5 3 2 4" xfId="2918" xr:uid="{00000000-0005-0000-0000-0000A6120000}"/>
    <cellStyle name="Calculation 5 3 2 4 2" xfId="7002" xr:uid="{00000000-0005-0000-0000-0000A7120000}"/>
    <cellStyle name="Calculation 5 3 2 4 2 2" xfId="23176" xr:uid="{00000000-0005-0000-0000-0000A8120000}"/>
    <cellStyle name="Calculation 5 3 2 4 3" xfId="13256" xr:uid="{00000000-0005-0000-0000-0000A9120000}"/>
    <cellStyle name="Calculation 5 3 2 4 3 2" xfId="28088" xr:uid="{00000000-0005-0000-0000-0000AA120000}"/>
    <cellStyle name="Calculation 5 3 2 4 4" xfId="20844" xr:uid="{00000000-0005-0000-0000-0000AB120000}"/>
    <cellStyle name="Calculation 5 3 2 5" xfId="6079" xr:uid="{00000000-0005-0000-0000-0000AC120000}"/>
    <cellStyle name="Calculation 5 3 2 5 2" xfId="16266" xr:uid="{00000000-0005-0000-0000-0000AD120000}"/>
    <cellStyle name="Calculation 5 3 2 5 2 2" xfId="31098" xr:uid="{00000000-0005-0000-0000-0000AE120000}"/>
    <cellStyle name="Calculation 5 3 2 5 3" xfId="22612" xr:uid="{00000000-0005-0000-0000-0000AF120000}"/>
    <cellStyle name="Calculation 5 3 2 6" xfId="12336" xr:uid="{00000000-0005-0000-0000-0000B0120000}"/>
    <cellStyle name="Calculation 5 3 2 6 2" xfId="27168" xr:uid="{00000000-0005-0000-0000-0000B1120000}"/>
    <cellStyle name="Calculation 5 3 2 7" xfId="9933" xr:uid="{00000000-0005-0000-0000-0000B2120000}"/>
    <cellStyle name="Calculation 5 3 2 7 2" xfId="20135" xr:uid="{00000000-0005-0000-0000-0000B3120000}"/>
    <cellStyle name="Calculation 5 3 3" xfId="3452" xr:uid="{00000000-0005-0000-0000-0000B4120000}"/>
    <cellStyle name="Calculation 5 3 3 2" xfId="7515" xr:uid="{00000000-0005-0000-0000-0000B5120000}"/>
    <cellStyle name="Calculation 5 3 3 2 2" xfId="23486" xr:uid="{00000000-0005-0000-0000-0000B6120000}"/>
    <cellStyle name="Calculation 5 3 3 3" xfId="13789" xr:uid="{00000000-0005-0000-0000-0000B7120000}"/>
    <cellStyle name="Calculation 5 3 3 3 2" xfId="28621" xr:uid="{00000000-0005-0000-0000-0000B8120000}"/>
    <cellStyle name="Calculation 5 3 3 4" xfId="21161" xr:uid="{00000000-0005-0000-0000-0000B9120000}"/>
    <cellStyle name="Calculation 5 3 4" xfId="4508" xr:uid="{00000000-0005-0000-0000-0000BA120000}"/>
    <cellStyle name="Calculation 5 3 4 2" xfId="8547" xr:uid="{00000000-0005-0000-0000-0000BB120000}"/>
    <cellStyle name="Calculation 5 3 4 2 2" xfId="24173" xr:uid="{00000000-0005-0000-0000-0000BC120000}"/>
    <cellStyle name="Calculation 5 3 4 3" xfId="14835" xr:uid="{00000000-0005-0000-0000-0000BD120000}"/>
    <cellStyle name="Calculation 5 3 4 3 2" xfId="29667" xr:uid="{00000000-0005-0000-0000-0000BE120000}"/>
    <cellStyle name="Calculation 5 3 4 4" xfId="21733" xr:uid="{00000000-0005-0000-0000-0000BF120000}"/>
    <cellStyle name="Calculation 5 3 5" xfId="2498" xr:uid="{00000000-0005-0000-0000-0000C0120000}"/>
    <cellStyle name="Calculation 5 3 5 2" xfId="6604" xr:uid="{00000000-0005-0000-0000-0000C1120000}"/>
    <cellStyle name="Calculation 5 3 5 2 2" xfId="22942" xr:uid="{00000000-0005-0000-0000-0000C2120000}"/>
    <cellStyle name="Calculation 5 3 5 3" xfId="12836" xr:uid="{00000000-0005-0000-0000-0000C3120000}"/>
    <cellStyle name="Calculation 5 3 5 3 2" xfId="27668" xr:uid="{00000000-0005-0000-0000-0000C4120000}"/>
    <cellStyle name="Calculation 5 3 5 4" xfId="20588" xr:uid="{00000000-0005-0000-0000-0000C5120000}"/>
    <cellStyle name="Calculation 5 3 6" xfId="5621" xr:uid="{00000000-0005-0000-0000-0000C6120000}"/>
    <cellStyle name="Calculation 5 3 6 2" xfId="15856" xr:uid="{00000000-0005-0000-0000-0000C7120000}"/>
    <cellStyle name="Calculation 5 3 6 2 2" xfId="30688" xr:uid="{00000000-0005-0000-0000-0000C8120000}"/>
    <cellStyle name="Calculation 5 3 6 3" xfId="22317" xr:uid="{00000000-0005-0000-0000-0000C9120000}"/>
    <cellStyle name="Calculation 5 3 7" xfId="11865" xr:uid="{00000000-0005-0000-0000-0000CA120000}"/>
    <cellStyle name="Calculation 5 3 7 2" xfId="26697" xr:uid="{00000000-0005-0000-0000-0000CB120000}"/>
    <cellStyle name="Calculation 5 3 8" xfId="9538" xr:uid="{00000000-0005-0000-0000-0000CC120000}"/>
    <cellStyle name="Calculation 5 3 8 2" xfId="19840" xr:uid="{00000000-0005-0000-0000-0000CD120000}"/>
    <cellStyle name="Calculation 5 4" xfId="1507" xr:uid="{00000000-0005-0000-0000-0000CE120000}"/>
    <cellStyle name="Calculation 5 4 2" xfId="2004" xr:uid="{00000000-0005-0000-0000-0000CF120000}"/>
    <cellStyle name="Calculation 5 4 2 2" xfId="3652" xr:uid="{00000000-0005-0000-0000-0000D0120000}"/>
    <cellStyle name="Calculation 5 4 2 2 2" xfId="7711" xr:uid="{00000000-0005-0000-0000-0000D1120000}"/>
    <cellStyle name="Calculation 5 4 2 2 2 2" xfId="23609" xr:uid="{00000000-0005-0000-0000-0000D2120000}"/>
    <cellStyle name="Calculation 5 4 2 2 3" xfId="13987" xr:uid="{00000000-0005-0000-0000-0000D3120000}"/>
    <cellStyle name="Calculation 5 4 2 2 3 2" xfId="28819" xr:uid="{00000000-0005-0000-0000-0000D4120000}"/>
    <cellStyle name="Calculation 5 4 2 2 4" xfId="21274" xr:uid="{00000000-0005-0000-0000-0000D5120000}"/>
    <cellStyle name="Calculation 5 4 2 3" xfId="4972" xr:uid="{00000000-0005-0000-0000-0000D6120000}"/>
    <cellStyle name="Calculation 5 4 2 3 2" xfId="9011" xr:uid="{00000000-0005-0000-0000-0000D7120000}"/>
    <cellStyle name="Calculation 5 4 2 3 2 2" xfId="24477" xr:uid="{00000000-0005-0000-0000-0000D8120000}"/>
    <cellStyle name="Calculation 5 4 2 3 3" xfId="15294" xr:uid="{00000000-0005-0000-0000-0000D9120000}"/>
    <cellStyle name="Calculation 5 4 2 3 3 2" xfId="30126" xr:uid="{00000000-0005-0000-0000-0000DA120000}"/>
    <cellStyle name="Calculation 5 4 2 3 4" xfId="22003" xr:uid="{00000000-0005-0000-0000-0000DB120000}"/>
    <cellStyle name="Calculation 5 4 2 4" xfId="2962" xr:uid="{00000000-0005-0000-0000-0000DC120000}"/>
    <cellStyle name="Calculation 5 4 2 4 2" xfId="7042" xr:uid="{00000000-0005-0000-0000-0000DD120000}"/>
    <cellStyle name="Calculation 5 4 2 4 2 2" xfId="23216" xr:uid="{00000000-0005-0000-0000-0000DE120000}"/>
    <cellStyle name="Calculation 5 4 2 4 3" xfId="13300" xr:uid="{00000000-0005-0000-0000-0000DF120000}"/>
    <cellStyle name="Calculation 5 4 2 4 3 2" xfId="28132" xr:uid="{00000000-0005-0000-0000-0000E0120000}"/>
    <cellStyle name="Calculation 5 4 2 4 4" xfId="20888" xr:uid="{00000000-0005-0000-0000-0000E1120000}"/>
    <cellStyle name="Calculation 5 4 2 5" xfId="6134" xr:uid="{00000000-0005-0000-0000-0000E2120000}"/>
    <cellStyle name="Calculation 5 4 2 5 2" xfId="16321" xr:uid="{00000000-0005-0000-0000-0000E3120000}"/>
    <cellStyle name="Calculation 5 4 2 5 2 2" xfId="31153" xr:uid="{00000000-0005-0000-0000-0000E4120000}"/>
    <cellStyle name="Calculation 5 4 2 5 3" xfId="22667" xr:uid="{00000000-0005-0000-0000-0000E5120000}"/>
    <cellStyle name="Calculation 5 4 2 6" xfId="12391" xr:uid="{00000000-0005-0000-0000-0000E6120000}"/>
    <cellStyle name="Calculation 5 4 2 6 2" xfId="27223" xr:uid="{00000000-0005-0000-0000-0000E7120000}"/>
    <cellStyle name="Calculation 5 4 2 7" xfId="9973" xr:uid="{00000000-0005-0000-0000-0000E8120000}"/>
    <cellStyle name="Calculation 5 4 2 7 2" xfId="20171" xr:uid="{00000000-0005-0000-0000-0000E9120000}"/>
    <cellStyle name="Calculation 5 4 3" xfId="3178" xr:uid="{00000000-0005-0000-0000-0000EA120000}"/>
    <cellStyle name="Calculation 5 4 3 2" xfId="7242" xr:uid="{00000000-0005-0000-0000-0000EB120000}"/>
    <cellStyle name="Calculation 5 4 3 2 2" xfId="23300" xr:uid="{00000000-0005-0000-0000-0000EC120000}"/>
    <cellStyle name="Calculation 5 4 3 3" xfId="13516" xr:uid="{00000000-0005-0000-0000-0000ED120000}"/>
    <cellStyle name="Calculation 5 4 3 3 2" xfId="28348" xr:uid="{00000000-0005-0000-0000-0000EE120000}"/>
    <cellStyle name="Calculation 5 4 3 4" xfId="20990" xr:uid="{00000000-0005-0000-0000-0000EF120000}"/>
    <cellStyle name="Calculation 5 4 4" xfId="4552" xr:uid="{00000000-0005-0000-0000-0000F0120000}"/>
    <cellStyle name="Calculation 5 4 4 2" xfId="8591" xr:uid="{00000000-0005-0000-0000-0000F1120000}"/>
    <cellStyle name="Calculation 5 4 4 2 2" xfId="24217" xr:uid="{00000000-0005-0000-0000-0000F2120000}"/>
    <cellStyle name="Calculation 5 4 4 3" xfId="14879" xr:uid="{00000000-0005-0000-0000-0000F3120000}"/>
    <cellStyle name="Calculation 5 4 4 3 2" xfId="29711" xr:uid="{00000000-0005-0000-0000-0000F4120000}"/>
    <cellStyle name="Calculation 5 4 4 4" xfId="21773" xr:uid="{00000000-0005-0000-0000-0000F5120000}"/>
    <cellStyle name="Calculation 5 4 5" xfId="2542" xr:uid="{00000000-0005-0000-0000-0000F6120000}"/>
    <cellStyle name="Calculation 5 4 5 2" xfId="6648" xr:uid="{00000000-0005-0000-0000-0000F7120000}"/>
    <cellStyle name="Calculation 5 4 5 2 2" xfId="22986" xr:uid="{00000000-0005-0000-0000-0000F8120000}"/>
    <cellStyle name="Calculation 5 4 5 3" xfId="12880" xr:uid="{00000000-0005-0000-0000-0000F9120000}"/>
    <cellStyle name="Calculation 5 4 5 3 2" xfId="27712" xr:uid="{00000000-0005-0000-0000-0000FA120000}"/>
    <cellStyle name="Calculation 5 4 5 4" xfId="20628" xr:uid="{00000000-0005-0000-0000-0000FB120000}"/>
    <cellStyle name="Calculation 5 4 6" xfId="5665" xr:uid="{00000000-0005-0000-0000-0000FC120000}"/>
    <cellStyle name="Calculation 5 4 6 2" xfId="15900" xr:uid="{00000000-0005-0000-0000-0000FD120000}"/>
    <cellStyle name="Calculation 5 4 6 2 2" xfId="30732" xr:uid="{00000000-0005-0000-0000-0000FE120000}"/>
    <cellStyle name="Calculation 5 4 6 3" xfId="22361" xr:uid="{00000000-0005-0000-0000-0000FF120000}"/>
    <cellStyle name="Calculation 5 4 7" xfId="11920" xr:uid="{00000000-0005-0000-0000-000000130000}"/>
    <cellStyle name="Calculation 5 4 7 2" xfId="26752" xr:uid="{00000000-0005-0000-0000-000001130000}"/>
    <cellStyle name="Calculation 5 4 8" xfId="9578" xr:uid="{00000000-0005-0000-0000-000002130000}"/>
    <cellStyle name="Calculation 5 4 8 2" xfId="19880" xr:uid="{00000000-0005-0000-0000-000003130000}"/>
    <cellStyle name="Calculation 5 5" xfId="1433" xr:uid="{00000000-0005-0000-0000-000004130000}"/>
    <cellStyle name="Calculation 5 5 2" xfId="1934" xr:uid="{00000000-0005-0000-0000-000005130000}"/>
    <cellStyle name="Calculation 5 5 2 2" xfId="3121" xr:uid="{00000000-0005-0000-0000-000006130000}"/>
    <cellStyle name="Calculation 5 5 2 2 2" xfId="7186" xr:uid="{00000000-0005-0000-0000-000007130000}"/>
    <cellStyle name="Calculation 5 5 2 2 2 2" xfId="23260" xr:uid="{00000000-0005-0000-0000-000008130000}"/>
    <cellStyle name="Calculation 5 5 2 2 3" xfId="13459" xr:uid="{00000000-0005-0000-0000-000009130000}"/>
    <cellStyle name="Calculation 5 5 2 2 3 2" xfId="28291" xr:uid="{00000000-0005-0000-0000-00000A130000}"/>
    <cellStyle name="Calculation 5 5 2 2 4" xfId="20950" xr:uid="{00000000-0005-0000-0000-00000B130000}"/>
    <cellStyle name="Calculation 5 5 2 3" xfId="4913" xr:uid="{00000000-0005-0000-0000-00000C130000}"/>
    <cellStyle name="Calculation 5 5 2 3 2" xfId="8952" xr:uid="{00000000-0005-0000-0000-00000D130000}"/>
    <cellStyle name="Calculation 5 5 2 3 2 2" xfId="24418" xr:uid="{00000000-0005-0000-0000-00000E130000}"/>
    <cellStyle name="Calculation 5 5 2 3 3" xfId="15235" xr:uid="{00000000-0005-0000-0000-00000F130000}"/>
    <cellStyle name="Calculation 5 5 2 3 3 2" xfId="30067" xr:uid="{00000000-0005-0000-0000-000010130000}"/>
    <cellStyle name="Calculation 5 5 2 3 4" xfId="21948" xr:uid="{00000000-0005-0000-0000-000011130000}"/>
    <cellStyle name="Calculation 5 5 2 4" xfId="2903" xr:uid="{00000000-0005-0000-0000-000012130000}"/>
    <cellStyle name="Calculation 5 5 2 4 2" xfId="6987" xr:uid="{00000000-0005-0000-0000-000013130000}"/>
    <cellStyle name="Calculation 5 5 2 4 2 2" xfId="23161" xr:uid="{00000000-0005-0000-0000-000014130000}"/>
    <cellStyle name="Calculation 5 5 2 4 3" xfId="13241" xr:uid="{00000000-0005-0000-0000-000015130000}"/>
    <cellStyle name="Calculation 5 5 2 4 3 2" xfId="28073" xr:uid="{00000000-0005-0000-0000-000016130000}"/>
    <cellStyle name="Calculation 5 5 2 4 4" xfId="20829" xr:uid="{00000000-0005-0000-0000-000017130000}"/>
    <cellStyle name="Calculation 5 5 2 5" xfId="6064" xr:uid="{00000000-0005-0000-0000-000018130000}"/>
    <cellStyle name="Calculation 5 5 2 5 2" xfId="16251" xr:uid="{00000000-0005-0000-0000-000019130000}"/>
    <cellStyle name="Calculation 5 5 2 5 2 2" xfId="31083" xr:uid="{00000000-0005-0000-0000-00001A130000}"/>
    <cellStyle name="Calculation 5 5 2 5 3" xfId="22597" xr:uid="{00000000-0005-0000-0000-00001B130000}"/>
    <cellStyle name="Calculation 5 5 2 6" xfId="12321" xr:uid="{00000000-0005-0000-0000-00001C130000}"/>
    <cellStyle name="Calculation 5 5 2 6 2" xfId="27153" xr:uid="{00000000-0005-0000-0000-00001D130000}"/>
    <cellStyle name="Calculation 5 5 2 7" xfId="9918" xr:uid="{00000000-0005-0000-0000-00001E130000}"/>
    <cellStyle name="Calculation 5 5 2 7 2" xfId="20120" xr:uid="{00000000-0005-0000-0000-00001F130000}"/>
    <cellStyle name="Calculation 5 5 3" xfId="3431" xr:uid="{00000000-0005-0000-0000-000020130000}"/>
    <cellStyle name="Calculation 5 5 3 2" xfId="7494" xr:uid="{00000000-0005-0000-0000-000021130000}"/>
    <cellStyle name="Calculation 5 5 3 2 2" xfId="23471" xr:uid="{00000000-0005-0000-0000-000022130000}"/>
    <cellStyle name="Calculation 5 5 3 3" xfId="13768" xr:uid="{00000000-0005-0000-0000-000023130000}"/>
    <cellStyle name="Calculation 5 5 3 3 2" xfId="28600" xr:uid="{00000000-0005-0000-0000-000024130000}"/>
    <cellStyle name="Calculation 5 5 3 4" xfId="21147" xr:uid="{00000000-0005-0000-0000-000025130000}"/>
    <cellStyle name="Calculation 5 5 4" xfId="4493" xr:uid="{00000000-0005-0000-0000-000026130000}"/>
    <cellStyle name="Calculation 5 5 4 2" xfId="8532" xr:uid="{00000000-0005-0000-0000-000027130000}"/>
    <cellStyle name="Calculation 5 5 4 2 2" xfId="24158" xr:uid="{00000000-0005-0000-0000-000028130000}"/>
    <cellStyle name="Calculation 5 5 4 3" xfId="14820" xr:uid="{00000000-0005-0000-0000-000029130000}"/>
    <cellStyle name="Calculation 5 5 4 3 2" xfId="29652" xr:uid="{00000000-0005-0000-0000-00002A130000}"/>
    <cellStyle name="Calculation 5 5 4 4" xfId="21718" xr:uid="{00000000-0005-0000-0000-00002B130000}"/>
    <cellStyle name="Calculation 5 5 5" xfId="2483" xr:uid="{00000000-0005-0000-0000-00002C130000}"/>
    <cellStyle name="Calculation 5 5 5 2" xfId="6589" xr:uid="{00000000-0005-0000-0000-00002D130000}"/>
    <cellStyle name="Calculation 5 5 5 2 2" xfId="22927" xr:uid="{00000000-0005-0000-0000-00002E130000}"/>
    <cellStyle name="Calculation 5 5 5 3" xfId="12821" xr:uid="{00000000-0005-0000-0000-00002F130000}"/>
    <cellStyle name="Calculation 5 5 5 3 2" xfId="27653" xr:uid="{00000000-0005-0000-0000-000030130000}"/>
    <cellStyle name="Calculation 5 5 5 4" xfId="20573" xr:uid="{00000000-0005-0000-0000-000031130000}"/>
    <cellStyle name="Calculation 5 5 6" xfId="5606" xr:uid="{00000000-0005-0000-0000-000032130000}"/>
    <cellStyle name="Calculation 5 5 6 2" xfId="15841" xr:uid="{00000000-0005-0000-0000-000033130000}"/>
    <cellStyle name="Calculation 5 5 6 2 2" xfId="30673" xr:uid="{00000000-0005-0000-0000-000034130000}"/>
    <cellStyle name="Calculation 5 5 6 3" xfId="22302" xr:uid="{00000000-0005-0000-0000-000035130000}"/>
    <cellStyle name="Calculation 5 5 7" xfId="11850" xr:uid="{00000000-0005-0000-0000-000036130000}"/>
    <cellStyle name="Calculation 5 5 7 2" xfId="26682" xr:uid="{00000000-0005-0000-0000-000037130000}"/>
    <cellStyle name="Calculation 5 5 8" xfId="9523" xr:uid="{00000000-0005-0000-0000-000038130000}"/>
    <cellStyle name="Calculation 5 5 8 2" xfId="19825" xr:uid="{00000000-0005-0000-0000-000039130000}"/>
    <cellStyle name="Calculation 5 6" xfId="1725" xr:uid="{00000000-0005-0000-0000-00003A130000}"/>
    <cellStyle name="Calculation 5 6 2" xfId="4054" xr:uid="{00000000-0005-0000-0000-00003B130000}"/>
    <cellStyle name="Calculation 5 6 2 2" xfId="8101" xr:uid="{00000000-0005-0000-0000-00003C130000}"/>
    <cellStyle name="Calculation 5 6 2 2 2" xfId="23863" xr:uid="{00000000-0005-0000-0000-00003D130000}"/>
    <cellStyle name="Calculation 5 6 2 3" xfId="14386" xr:uid="{00000000-0005-0000-0000-00003E130000}"/>
    <cellStyle name="Calculation 5 6 2 3 2" xfId="29218" xr:uid="{00000000-0005-0000-0000-00003F130000}"/>
    <cellStyle name="Calculation 5 6 2 4" xfId="21497" xr:uid="{00000000-0005-0000-0000-000040130000}"/>
    <cellStyle name="Calculation 5 6 3" xfId="4718" xr:uid="{00000000-0005-0000-0000-000041130000}"/>
    <cellStyle name="Calculation 5 6 3 2" xfId="8757" xr:uid="{00000000-0005-0000-0000-000042130000}"/>
    <cellStyle name="Calculation 5 6 3 2 2" xfId="24287" xr:uid="{00000000-0005-0000-0000-000043130000}"/>
    <cellStyle name="Calculation 5 6 3 3" xfId="15042" xr:uid="{00000000-0005-0000-0000-000044130000}"/>
    <cellStyle name="Calculation 5 6 3 3 2" xfId="29874" xr:uid="{00000000-0005-0000-0000-000045130000}"/>
    <cellStyle name="Calculation 5 6 3 4" xfId="21825" xr:uid="{00000000-0005-0000-0000-000046130000}"/>
    <cellStyle name="Calculation 5 6 4" xfId="2708" xr:uid="{00000000-0005-0000-0000-000047130000}"/>
    <cellStyle name="Calculation 5 6 4 2" xfId="6799" xr:uid="{00000000-0005-0000-0000-000048130000}"/>
    <cellStyle name="Calculation 5 6 4 2 2" xfId="23038" xr:uid="{00000000-0005-0000-0000-000049130000}"/>
    <cellStyle name="Calculation 5 6 4 3" xfId="13046" xr:uid="{00000000-0005-0000-0000-00004A130000}"/>
    <cellStyle name="Calculation 5 6 4 3 2" xfId="27878" xr:uid="{00000000-0005-0000-0000-00004B130000}"/>
    <cellStyle name="Calculation 5 6 4 4" xfId="20698" xr:uid="{00000000-0005-0000-0000-00004C130000}"/>
    <cellStyle name="Calculation 5 6 5" xfId="5857" xr:uid="{00000000-0005-0000-0000-00004D130000}"/>
    <cellStyle name="Calculation 5 6 5 2" xfId="16049" xr:uid="{00000000-0005-0000-0000-00004E130000}"/>
    <cellStyle name="Calculation 5 6 5 2 2" xfId="30881" xr:uid="{00000000-0005-0000-0000-00004F130000}"/>
    <cellStyle name="Calculation 5 6 5 3" xfId="22454" xr:uid="{00000000-0005-0000-0000-000050130000}"/>
    <cellStyle name="Calculation 5 6 6" xfId="12119" xr:uid="{00000000-0005-0000-0000-000051130000}"/>
    <cellStyle name="Calculation 5 6 6 2" xfId="26951" xr:uid="{00000000-0005-0000-0000-000052130000}"/>
    <cellStyle name="Calculation 5 6 7" xfId="9730" xr:uid="{00000000-0005-0000-0000-000053130000}"/>
    <cellStyle name="Calculation 5 6 7 2" xfId="20028" xr:uid="{00000000-0005-0000-0000-000054130000}"/>
    <cellStyle name="Calculation 5 7" xfId="2226" xr:uid="{00000000-0005-0000-0000-000055130000}"/>
    <cellStyle name="Calculation 5 7 2" xfId="4141" xr:uid="{00000000-0005-0000-0000-000056130000}"/>
    <cellStyle name="Calculation 5 7 2 2" xfId="8185" xr:uid="{00000000-0005-0000-0000-000057130000}"/>
    <cellStyle name="Calculation 5 7 2 2 2" xfId="23914" xr:uid="{00000000-0005-0000-0000-000058130000}"/>
    <cellStyle name="Calculation 5 7 2 3" xfId="14473" xr:uid="{00000000-0005-0000-0000-000059130000}"/>
    <cellStyle name="Calculation 5 7 2 3 2" xfId="29305" xr:uid="{00000000-0005-0000-0000-00005A130000}"/>
    <cellStyle name="Calculation 5 7 2 4" xfId="21541" xr:uid="{00000000-0005-0000-0000-00005B130000}"/>
    <cellStyle name="Calculation 5 7 3" xfId="5194" xr:uid="{00000000-0005-0000-0000-00005C130000}"/>
    <cellStyle name="Calculation 5 7 3 2" xfId="9233" xr:uid="{00000000-0005-0000-0000-00005D130000}"/>
    <cellStyle name="Calculation 5 7 3 2 2" xfId="24571" xr:uid="{00000000-0005-0000-0000-00005E130000}"/>
    <cellStyle name="Calculation 5 7 3 3" xfId="15512" xr:uid="{00000000-0005-0000-0000-00005F130000}"/>
    <cellStyle name="Calculation 5 7 3 3 2" xfId="30344" xr:uid="{00000000-0005-0000-0000-000060130000}"/>
    <cellStyle name="Calculation 5 7 3 4" xfId="22078" xr:uid="{00000000-0005-0000-0000-000061130000}"/>
    <cellStyle name="Calculation 5 7 4" xfId="4224" xr:uid="{00000000-0005-0000-0000-000062130000}"/>
    <cellStyle name="Calculation 5 7 4 2" xfId="8265" xr:uid="{00000000-0005-0000-0000-000063130000}"/>
    <cellStyle name="Calculation 5 7 4 2 2" xfId="23960" xr:uid="{00000000-0005-0000-0000-000064130000}"/>
    <cellStyle name="Calculation 5 7 4 3" xfId="14556" xr:uid="{00000000-0005-0000-0000-000065130000}"/>
    <cellStyle name="Calculation 5 7 4 3 2" xfId="29388" xr:uid="{00000000-0005-0000-0000-000066130000}"/>
    <cellStyle name="Calculation 5 7 4 4" xfId="21585" xr:uid="{00000000-0005-0000-0000-000067130000}"/>
    <cellStyle name="Calculation 5 7 5" xfId="6340" xr:uid="{00000000-0005-0000-0000-000068130000}"/>
    <cellStyle name="Calculation 5 7 5 2" xfId="22742" xr:uid="{00000000-0005-0000-0000-000069130000}"/>
    <cellStyle name="Calculation 5 7 6" xfId="12594" xr:uid="{00000000-0005-0000-0000-00006A130000}"/>
    <cellStyle name="Calculation 5 7 6 2" xfId="27426" xr:uid="{00000000-0005-0000-0000-00006B130000}"/>
    <cellStyle name="Calculation 5 7 7" xfId="20421" xr:uid="{00000000-0005-0000-0000-00006C130000}"/>
    <cellStyle name="Calculation 5 8" xfId="3560" xr:uid="{00000000-0005-0000-0000-00006D130000}"/>
    <cellStyle name="Calculation 5 8 2" xfId="7622" xr:uid="{00000000-0005-0000-0000-00006E130000}"/>
    <cellStyle name="Calculation 5 8 2 2" xfId="23552" xr:uid="{00000000-0005-0000-0000-00006F130000}"/>
    <cellStyle name="Calculation 5 8 3" xfId="13896" xr:uid="{00000000-0005-0000-0000-000070130000}"/>
    <cellStyle name="Calculation 5 8 3 2" xfId="28728" xr:uid="{00000000-0005-0000-0000-000071130000}"/>
    <cellStyle name="Calculation 5 8 4" xfId="21222" xr:uid="{00000000-0005-0000-0000-000072130000}"/>
    <cellStyle name="Calculation 5 9" xfId="3136" xr:uid="{00000000-0005-0000-0000-000073130000}"/>
    <cellStyle name="Calculation 5 9 2" xfId="7200" xr:uid="{00000000-0005-0000-0000-000074130000}"/>
    <cellStyle name="Calculation 5 9 2 2" xfId="23272" xr:uid="{00000000-0005-0000-0000-000075130000}"/>
    <cellStyle name="Calculation 5 9 3" xfId="13474" xr:uid="{00000000-0005-0000-0000-000076130000}"/>
    <cellStyle name="Calculation 5 9 3 2" xfId="28306" xr:uid="{00000000-0005-0000-0000-000077130000}"/>
    <cellStyle name="Calculation 5 9 4" xfId="20963" xr:uid="{00000000-0005-0000-0000-000078130000}"/>
    <cellStyle name="Calculation 6" xfId="973" xr:uid="{00000000-0005-0000-0000-000079130000}"/>
    <cellStyle name="Calculation 6 10" xfId="2279" xr:uid="{00000000-0005-0000-0000-00007A130000}"/>
    <cellStyle name="Calculation 6 10 2" xfId="6391" xr:uid="{00000000-0005-0000-0000-00007B130000}"/>
    <cellStyle name="Calculation 6 10 2 2" xfId="22793" xr:uid="{00000000-0005-0000-0000-00007C130000}"/>
    <cellStyle name="Calculation 6 10 3" xfId="12619" xr:uid="{00000000-0005-0000-0000-00007D130000}"/>
    <cellStyle name="Calculation 6 10 3 2" xfId="27451" xr:uid="{00000000-0005-0000-0000-00007E130000}"/>
    <cellStyle name="Calculation 6 10 4" xfId="20445" xr:uid="{00000000-0005-0000-0000-00007F130000}"/>
    <cellStyle name="Calculation 6 11" xfId="5245" xr:uid="{00000000-0005-0000-0000-000080130000}"/>
    <cellStyle name="Calculation 6 11 2" xfId="15561" xr:uid="{00000000-0005-0000-0000-000081130000}"/>
    <cellStyle name="Calculation 6 11 2 2" xfId="30393" xr:uid="{00000000-0005-0000-0000-000082130000}"/>
    <cellStyle name="Calculation 6 11 3" xfId="22102" xr:uid="{00000000-0005-0000-0000-000083130000}"/>
    <cellStyle name="Calculation 6 12" xfId="5403" xr:uid="{00000000-0005-0000-0000-000084130000}"/>
    <cellStyle name="Calculation 6 12 2" xfId="15639" xr:uid="{00000000-0005-0000-0000-000085130000}"/>
    <cellStyle name="Calculation 6 12 2 2" xfId="30471" xr:uid="{00000000-0005-0000-0000-000086130000}"/>
    <cellStyle name="Calculation 6 12 3" xfId="22164" xr:uid="{00000000-0005-0000-0000-000087130000}"/>
    <cellStyle name="Calculation 6 13" xfId="9388" xr:uid="{00000000-0005-0000-0000-000088130000}"/>
    <cellStyle name="Calculation 6 13 2" xfId="24694" xr:uid="{00000000-0005-0000-0000-000089130000}"/>
    <cellStyle name="Calculation 6 14" xfId="6694" xr:uid="{00000000-0005-0000-0000-00008A130000}"/>
    <cellStyle name="Calculation 6 14 2" xfId="18705" xr:uid="{00000000-0005-0000-0000-00008B130000}"/>
    <cellStyle name="Calculation 6 2" xfId="1315" xr:uid="{00000000-0005-0000-0000-00008C130000}"/>
    <cellStyle name="Calculation 6 2 2" xfId="1819" xr:uid="{00000000-0005-0000-0000-00008D130000}"/>
    <cellStyle name="Calculation 6 2 2 2" xfId="4104" xr:uid="{00000000-0005-0000-0000-00008E130000}"/>
    <cellStyle name="Calculation 6 2 2 2 2" xfId="8150" xr:uid="{00000000-0005-0000-0000-00008F130000}"/>
    <cellStyle name="Calculation 6 2 2 2 2 2" xfId="23893" xr:uid="{00000000-0005-0000-0000-000090130000}"/>
    <cellStyle name="Calculation 6 2 2 2 3" xfId="14436" xr:uid="{00000000-0005-0000-0000-000091130000}"/>
    <cellStyle name="Calculation 6 2 2 2 3 2" xfId="29268" xr:uid="{00000000-0005-0000-0000-000092130000}"/>
    <cellStyle name="Calculation 6 2 2 2 4" xfId="21523" xr:uid="{00000000-0005-0000-0000-000093130000}"/>
    <cellStyle name="Calculation 6 2 2 3" xfId="4797" xr:uid="{00000000-0005-0000-0000-000094130000}"/>
    <cellStyle name="Calculation 6 2 2 3 2" xfId="8836" xr:uid="{00000000-0005-0000-0000-000095130000}"/>
    <cellStyle name="Calculation 6 2 2 3 2 2" xfId="24334" xr:uid="{00000000-0005-0000-0000-000096130000}"/>
    <cellStyle name="Calculation 6 2 2 3 3" xfId="15121" xr:uid="{00000000-0005-0000-0000-000097130000}"/>
    <cellStyle name="Calculation 6 2 2 3 3 2" xfId="29953" xr:uid="{00000000-0005-0000-0000-000098130000}"/>
    <cellStyle name="Calculation 6 2 2 3 4" xfId="21872" xr:uid="{00000000-0005-0000-0000-000099130000}"/>
    <cellStyle name="Calculation 6 2 2 4" xfId="2787" xr:uid="{00000000-0005-0000-0000-00009A130000}"/>
    <cellStyle name="Calculation 6 2 2 4 2" xfId="6878" xr:uid="{00000000-0005-0000-0000-00009B130000}"/>
    <cellStyle name="Calculation 6 2 2 4 2 2" xfId="23085" xr:uid="{00000000-0005-0000-0000-00009C130000}"/>
    <cellStyle name="Calculation 6 2 2 4 3" xfId="13125" xr:uid="{00000000-0005-0000-0000-00009D130000}"/>
    <cellStyle name="Calculation 6 2 2 4 3 2" xfId="27957" xr:uid="{00000000-0005-0000-0000-00009E130000}"/>
    <cellStyle name="Calculation 6 2 2 4 4" xfId="20745" xr:uid="{00000000-0005-0000-0000-00009F130000}"/>
    <cellStyle name="Calculation 6 2 2 5" xfId="5951" xr:uid="{00000000-0005-0000-0000-0000A0130000}"/>
    <cellStyle name="Calculation 6 2 2 5 2" xfId="16143" xr:uid="{00000000-0005-0000-0000-0000A1130000}"/>
    <cellStyle name="Calculation 6 2 2 5 2 2" xfId="30975" xr:uid="{00000000-0005-0000-0000-0000A2130000}"/>
    <cellStyle name="Calculation 6 2 2 5 3" xfId="22516" xr:uid="{00000000-0005-0000-0000-0000A3130000}"/>
    <cellStyle name="Calculation 6 2 2 6" xfId="12213" xr:uid="{00000000-0005-0000-0000-0000A4130000}"/>
    <cellStyle name="Calculation 6 2 2 6 2" xfId="27045" xr:uid="{00000000-0005-0000-0000-0000A5130000}"/>
    <cellStyle name="Calculation 6 2 2 7" xfId="9809" xr:uid="{00000000-0005-0000-0000-0000A6130000}"/>
    <cellStyle name="Calculation 6 2 2 7 2" xfId="20060" xr:uid="{00000000-0005-0000-0000-0000A7130000}"/>
    <cellStyle name="Calculation 6 2 3" xfId="3944" xr:uid="{00000000-0005-0000-0000-0000A8130000}"/>
    <cellStyle name="Calculation 6 2 3 2" xfId="7994" xr:uid="{00000000-0005-0000-0000-0000A9130000}"/>
    <cellStyle name="Calculation 6 2 3 2 2" xfId="23795" xr:uid="{00000000-0005-0000-0000-0000AA130000}"/>
    <cellStyle name="Calculation 6 2 3 3" xfId="14277" xr:uid="{00000000-0005-0000-0000-0000AB130000}"/>
    <cellStyle name="Calculation 6 2 3 3 2" xfId="29109" xr:uid="{00000000-0005-0000-0000-0000AC130000}"/>
    <cellStyle name="Calculation 6 2 3 4" xfId="21437" xr:uid="{00000000-0005-0000-0000-0000AD130000}"/>
    <cellStyle name="Calculation 6 2 4" xfId="4377" xr:uid="{00000000-0005-0000-0000-0000AE130000}"/>
    <cellStyle name="Calculation 6 2 4 2" xfId="8416" xr:uid="{00000000-0005-0000-0000-0000AF130000}"/>
    <cellStyle name="Calculation 6 2 4 2 2" xfId="24074" xr:uid="{00000000-0005-0000-0000-0000B0130000}"/>
    <cellStyle name="Calculation 6 2 4 3" xfId="14706" xr:uid="{00000000-0005-0000-0000-0000B1130000}"/>
    <cellStyle name="Calculation 6 2 4 3 2" xfId="29538" xr:uid="{00000000-0005-0000-0000-0000B2130000}"/>
    <cellStyle name="Calculation 6 2 4 4" xfId="21642" xr:uid="{00000000-0005-0000-0000-0000B3130000}"/>
    <cellStyle name="Calculation 6 2 5" xfId="2367" xr:uid="{00000000-0005-0000-0000-0000B4130000}"/>
    <cellStyle name="Calculation 6 2 5 2" xfId="6479" xr:uid="{00000000-0005-0000-0000-0000B5130000}"/>
    <cellStyle name="Calculation 6 2 5 2 2" xfId="22849" xr:uid="{00000000-0005-0000-0000-0000B6130000}"/>
    <cellStyle name="Calculation 6 2 5 3" xfId="12706" xr:uid="{00000000-0005-0000-0000-0000B7130000}"/>
    <cellStyle name="Calculation 6 2 5 3 2" xfId="27538" xr:uid="{00000000-0005-0000-0000-0000B8130000}"/>
    <cellStyle name="Calculation 6 2 5 4" xfId="20491" xr:uid="{00000000-0005-0000-0000-0000B9130000}"/>
    <cellStyle name="Calculation 6 2 6" xfId="5492" xr:uid="{00000000-0005-0000-0000-0000BA130000}"/>
    <cellStyle name="Calculation 6 2 6 2" xfId="15727" xr:uid="{00000000-0005-0000-0000-0000BB130000}"/>
    <cellStyle name="Calculation 6 2 6 2 2" xfId="30559" xr:uid="{00000000-0005-0000-0000-0000BC130000}"/>
    <cellStyle name="Calculation 6 2 6 3" xfId="22220" xr:uid="{00000000-0005-0000-0000-0000BD130000}"/>
    <cellStyle name="Calculation 6 2 7" xfId="11742" xr:uid="{00000000-0005-0000-0000-0000BE130000}"/>
    <cellStyle name="Calculation 6 2 7 2" xfId="26574" xr:uid="{00000000-0005-0000-0000-0000BF130000}"/>
    <cellStyle name="Calculation 6 2 8" xfId="9413" xr:uid="{00000000-0005-0000-0000-0000C0130000}"/>
    <cellStyle name="Calculation 6 2 8 2" xfId="19717" xr:uid="{00000000-0005-0000-0000-0000C1130000}"/>
    <cellStyle name="Calculation 6 3" xfId="1449" xr:uid="{00000000-0005-0000-0000-0000C2130000}"/>
    <cellStyle name="Calculation 6 3 2" xfId="1950" xr:uid="{00000000-0005-0000-0000-0000C3130000}"/>
    <cellStyle name="Calculation 6 3 2 2" xfId="3480" xr:uid="{00000000-0005-0000-0000-0000C4130000}"/>
    <cellStyle name="Calculation 6 3 2 2 2" xfId="7542" xr:uid="{00000000-0005-0000-0000-0000C5130000}"/>
    <cellStyle name="Calculation 6 3 2 2 2 2" xfId="23506" xr:uid="{00000000-0005-0000-0000-0000C6130000}"/>
    <cellStyle name="Calculation 6 3 2 2 3" xfId="13817" xr:uid="{00000000-0005-0000-0000-0000C7130000}"/>
    <cellStyle name="Calculation 6 3 2 2 3 2" xfId="28649" xr:uid="{00000000-0005-0000-0000-0000C8130000}"/>
    <cellStyle name="Calculation 6 3 2 2 4" xfId="21182" xr:uid="{00000000-0005-0000-0000-0000C9130000}"/>
    <cellStyle name="Calculation 6 3 2 3" xfId="4929" xr:uid="{00000000-0005-0000-0000-0000CA130000}"/>
    <cellStyle name="Calculation 6 3 2 3 2" xfId="8968" xr:uid="{00000000-0005-0000-0000-0000CB130000}"/>
    <cellStyle name="Calculation 6 3 2 3 2 2" xfId="24434" xr:uid="{00000000-0005-0000-0000-0000CC130000}"/>
    <cellStyle name="Calculation 6 3 2 3 3" xfId="15251" xr:uid="{00000000-0005-0000-0000-0000CD130000}"/>
    <cellStyle name="Calculation 6 3 2 3 3 2" xfId="30083" xr:uid="{00000000-0005-0000-0000-0000CE130000}"/>
    <cellStyle name="Calculation 6 3 2 3 4" xfId="21964" xr:uid="{00000000-0005-0000-0000-0000CF130000}"/>
    <cellStyle name="Calculation 6 3 2 4" xfId="2919" xr:uid="{00000000-0005-0000-0000-0000D0130000}"/>
    <cellStyle name="Calculation 6 3 2 4 2" xfId="7003" xr:uid="{00000000-0005-0000-0000-0000D1130000}"/>
    <cellStyle name="Calculation 6 3 2 4 2 2" xfId="23177" xr:uid="{00000000-0005-0000-0000-0000D2130000}"/>
    <cellStyle name="Calculation 6 3 2 4 3" xfId="13257" xr:uid="{00000000-0005-0000-0000-0000D3130000}"/>
    <cellStyle name="Calculation 6 3 2 4 3 2" xfId="28089" xr:uid="{00000000-0005-0000-0000-0000D4130000}"/>
    <cellStyle name="Calculation 6 3 2 4 4" xfId="20845" xr:uid="{00000000-0005-0000-0000-0000D5130000}"/>
    <cellStyle name="Calculation 6 3 2 5" xfId="6080" xr:uid="{00000000-0005-0000-0000-0000D6130000}"/>
    <cellStyle name="Calculation 6 3 2 5 2" xfId="16267" xr:uid="{00000000-0005-0000-0000-0000D7130000}"/>
    <cellStyle name="Calculation 6 3 2 5 2 2" xfId="31099" xr:uid="{00000000-0005-0000-0000-0000D8130000}"/>
    <cellStyle name="Calculation 6 3 2 5 3" xfId="22613" xr:uid="{00000000-0005-0000-0000-0000D9130000}"/>
    <cellStyle name="Calculation 6 3 2 6" xfId="12337" xr:uid="{00000000-0005-0000-0000-0000DA130000}"/>
    <cellStyle name="Calculation 6 3 2 6 2" xfId="27169" xr:uid="{00000000-0005-0000-0000-0000DB130000}"/>
    <cellStyle name="Calculation 6 3 2 7" xfId="9934" xr:uid="{00000000-0005-0000-0000-0000DC130000}"/>
    <cellStyle name="Calculation 6 3 2 7 2" xfId="20136" xr:uid="{00000000-0005-0000-0000-0000DD130000}"/>
    <cellStyle name="Calculation 6 3 3" xfId="4089" xr:uid="{00000000-0005-0000-0000-0000DE130000}"/>
    <cellStyle name="Calculation 6 3 3 2" xfId="8135" xr:uid="{00000000-0005-0000-0000-0000DF130000}"/>
    <cellStyle name="Calculation 6 3 3 2 2" xfId="23883" xr:uid="{00000000-0005-0000-0000-0000E0130000}"/>
    <cellStyle name="Calculation 6 3 3 3" xfId="14421" xr:uid="{00000000-0005-0000-0000-0000E1130000}"/>
    <cellStyle name="Calculation 6 3 3 3 2" xfId="29253" xr:uid="{00000000-0005-0000-0000-0000E2130000}"/>
    <cellStyle name="Calculation 6 3 3 4" xfId="21513" xr:uid="{00000000-0005-0000-0000-0000E3130000}"/>
    <cellStyle name="Calculation 6 3 4" xfId="4509" xr:uid="{00000000-0005-0000-0000-0000E4130000}"/>
    <cellStyle name="Calculation 6 3 4 2" xfId="8548" xr:uid="{00000000-0005-0000-0000-0000E5130000}"/>
    <cellStyle name="Calculation 6 3 4 2 2" xfId="24174" xr:uid="{00000000-0005-0000-0000-0000E6130000}"/>
    <cellStyle name="Calculation 6 3 4 3" xfId="14836" xr:uid="{00000000-0005-0000-0000-0000E7130000}"/>
    <cellStyle name="Calculation 6 3 4 3 2" xfId="29668" xr:uid="{00000000-0005-0000-0000-0000E8130000}"/>
    <cellStyle name="Calculation 6 3 4 4" xfId="21734" xr:uid="{00000000-0005-0000-0000-0000E9130000}"/>
    <cellStyle name="Calculation 6 3 5" xfId="2499" xr:uid="{00000000-0005-0000-0000-0000EA130000}"/>
    <cellStyle name="Calculation 6 3 5 2" xfId="6605" xr:uid="{00000000-0005-0000-0000-0000EB130000}"/>
    <cellStyle name="Calculation 6 3 5 2 2" xfId="22943" xr:uid="{00000000-0005-0000-0000-0000EC130000}"/>
    <cellStyle name="Calculation 6 3 5 3" xfId="12837" xr:uid="{00000000-0005-0000-0000-0000ED130000}"/>
    <cellStyle name="Calculation 6 3 5 3 2" xfId="27669" xr:uid="{00000000-0005-0000-0000-0000EE130000}"/>
    <cellStyle name="Calculation 6 3 5 4" xfId="20589" xr:uid="{00000000-0005-0000-0000-0000EF130000}"/>
    <cellStyle name="Calculation 6 3 6" xfId="5622" xr:uid="{00000000-0005-0000-0000-0000F0130000}"/>
    <cellStyle name="Calculation 6 3 6 2" xfId="15857" xr:uid="{00000000-0005-0000-0000-0000F1130000}"/>
    <cellStyle name="Calculation 6 3 6 2 2" xfId="30689" xr:uid="{00000000-0005-0000-0000-0000F2130000}"/>
    <cellStyle name="Calculation 6 3 6 3" xfId="22318" xr:uid="{00000000-0005-0000-0000-0000F3130000}"/>
    <cellStyle name="Calculation 6 3 7" xfId="11866" xr:uid="{00000000-0005-0000-0000-0000F4130000}"/>
    <cellStyle name="Calculation 6 3 7 2" xfId="26698" xr:uid="{00000000-0005-0000-0000-0000F5130000}"/>
    <cellStyle name="Calculation 6 3 8" xfId="9539" xr:uid="{00000000-0005-0000-0000-0000F6130000}"/>
    <cellStyle name="Calculation 6 3 8 2" xfId="19841" xr:uid="{00000000-0005-0000-0000-0000F7130000}"/>
    <cellStyle name="Calculation 6 4" xfId="1408" xr:uid="{00000000-0005-0000-0000-0000F8130000}"/>
    <cellStyle name="Calculation 6 4 2" xfId="1910" xr:uid="{00000000-0005-0000-0000-0000F9130000}"/>
    <cellStyle name="Calculation 6 4 2 2" xfId="3957" xr:uid="{00000000-0005-0000-0000-0000FA130000}"/>
    <cellStyle name="Calculation 6 4 2 2 2" xfId="8007" xr:uid="{00000000-0005-0000-0000-0000FB130000}"/>
    <cellStyle name="Calculation 6 4 2 2 2 2" xfId="23803" xr:uid="{00000000-0005-0000-0000-0000FC130000}"/>
    <cellStyle name="Calculation 6 4 2 2 3" xfId="14290" xr:uid="{00000000-0005-0000-0000-0000FD130000}"/>
    <cellStyle name="Calculation 6 4 2 2 3 2" xfId="29122" xr:uid="{00000000-0005-0000-0000-0000FE130000}"/>
    <cellStyle name="Calculation 6 4 2 2 4" xfId="21445" xr:uid="{00000000-0005-0000-0000-0000FF130000}"/>
    <cellStyle name="Calculation 6 4 2 3" xfId="4888" xr:uid="{00000000-0005-0000-0000-000000140000}"/>
    <cellStyle name="Calculation 6 4 2 3 2" xfId="8927" xr:uid="{00000000-0005-0000-0000-000001140000}"/>
    <cellStyle name="Calculation 6 4 2 3 2 2" xfId="24393" xr:uid="{00000000-0005-0000-0000-000002140000}"/>
    <cellStyle name="Calculation 6 4 2 3 3" xfId="15211" xr:uid="{00000000-0005-0000-0000-000003140000}"/>
    <cellStyle name="Calculation 6 4 2 3 3 2" xfId="30043" xr:uid="{00000000-0005-0000-0000-000004140000}"/>
    <cellStyle name="Calculation 6 4 2 3 4" xfId="21925" xr:uid="{00000000-0005-0000-0000-000005140000}"/>
    <cellStyle name="Calculation 6 4 2 4" xfId="2878" xr:uid="{00000000-0005-0000-0000-000006140000}"/>
    <cellStyle name="Calculation 6 4 2 4 2" xfId="6963" xr:uid="{00000000-0005-0000-0000-000007140000}"/>
    <cellStyle name="Calculation 6 4 2 4 2 2" xfId="23138" xr:uid="{00000000-0005-0000-0000-000008140000}"/>
    <cellStyle name="Calculation 6 4 2 4 3" xfId="13216" xr:uid="{00000000-0005-0000-0000-000009140000}"/>
    <cellStyle name="Calculation 6 4 2 4 3 2" xfId="28048" xr:uid="{00000000-0005-0000-0000-00000A140000}"/>
    <cellStyle name="Calculation 6 4 2 4 4" xfId="20804" xr:uid="{00000000-0005-0000-0000-00000B140000}"/>
    <cellStyle name="Calculation 6 4 2 5" xfId="6041" xr:uid="{00000000-0005-0000-0000-00000C140000}"/>
    <cellStyle name="Calculation 6 4 2 5 2" xfId="16228" xr:uid="{00000000-0005-0000-0000-00000D140000}"/>
    <cellStyle name="Calculation 6 4 2 5 2 2" xfId="31060" xr:uid="{00000000-0005-0000-0000-00000E140000}"/>
    <cellStyle name="Calculation 6 4 2 5 3" xfId="22574" xr:uid="{00000000-0005-0000-0000-00000F140000}"/>
    <cellStyle name="Calculation 6 4 2 6" xfId="12298" xr:uid="{00000000-0005-0000-0000-000010140000}"/>
    <cellStyle name="Calculation 6 4 2 6 2" xfId="27130" xr:uid="{00000000-0005-0000-0000-000011140000}"/>
    <cellStyle name="Calculation 6 4 2 7" xfId="9894" xr:uid="{00000000-0005-0000-0000-000012140000}"/>
    <cellStyle name="Calculation 6 4 2 7 2" xfId="20097" xr:uid="{00000000-0005-0000-0000-000013140000}"/>
    <cellStyle name="Calculation 6 4 3" xfId="4039" xr:uid="{00000000-0005-0000-0000-000014140000}"/>
    <cellStyle name="Calculation 6 4 3 2" xfId="8086" xr:uid="{00000000-0005-0000-0000-000015140000}"/>
    <cellStyle name="Calculation 6 4 3 2 2" xfId="23852" xr:uid="{00000000-0005-0000-0000-000016140000}"/>
    <cellStyle name="Calculation 6 4 3 3" xfId="14371" xr:uid="{00000000-0005-0000-0000-000017140000}"/>
    <cellStyle name="Calculation 6 4 3 3 2" xfId="29203" xr:uid="{00000000-0005-0000-0000-000018140000}"/>
    <cellStyle name="Calculation 6 4 3 4" xfId="21486" xr:uid="{00000000-0005-0000-0000-000019140000}"/>
    <cellStyle name="Calculation 6 4 4" xfId="4468" xr:uid="{00000000-0005-0000-0000-00001A140000}"/>
    <cellStyle name="Calculation 6 4 4 2" xfId="8507" xr:uid="{00000000-0005-0000-0000-00001B140000}"/>
    <cellStyle name="Calculation 6 4 4 2 2" xfId="24133" xr:uid="{00000000-0005-0000-0000-00001C140000}"/>
    <cellStyle name="Calculation 6 4 4 3" xfId="14796" xr:uid="{00000000-0005-0000-0000-00001D140000}"/>
    <cellStyle name="Calculation 6 4 4 3 2" xfId="29628" xr:uid="{00000000-0005-0000-0000-00001E140000}"/>
    <cellStyle name="Calculation 6 4 4 4" xfId="21695" xr:uid="{00000000-0005-0000-0000-00001F140000}"/>
    <cellStyle name="Calculation 6 4 5" xfId="2458" xr:uid="{00000000-0005-0000-0000-000020140000}"/>
    <cellStyle name="Calculation 6 4 5 2" xfId="6564" xr:uid="{00000000-0005-0000-0000-000021140000}"/>
    <cellStyle name="Calculation 6 4 5 2 2" xfId="22902" xr:uid="{00000000-0005-0000-0000-000022140000}"/>
    <cellStyle name="Calculation 6 4 5 3" xfId="12797" xr:uid="{00000000-0005-0000-0000-000023140000}"/>
    <cellStyle name="Calculation 6 4 5 3 2" xfId="27629" xr:uid="{00000000-0005-0000-0000-000024140000}"/>
    <cellStyle name="Calculation 6 4 5 4" xfId="20550" xr:uid="{00000000-0005-0000-0000-000025140000}"/>
    <cellStyle name="Calculation 6 4 6" xfId="5582" xr:uid="{00000000-0005-0000-0000-000026140000}"/>
    <cellStyle name="Calculation 6 4 6 2" xfId="15817" xr:uid="{00000000-0005-0000-0000-000027140000}"/>
    <cellStyle name="Calculation 6 4 6 2 2" xfId="30649" xr:uid="{00000000-0005-0000-0000-000028140000}"/>
    <cellStyle name="Calculation 6 4 6 3" xfId="22278" xr:uid="{00000000-0005-0000-0000-000029140000}"/>
    <cellStyle name="Calculation 6 4 7" xfId="11827" xr:uid="{00000000-0005-0000-0000-00002A140000}"/>
    <cellStyle name="Calculation 6 4 7 2" xfId="26659" xr:uid="{00000000-0005-0000-0000-00002B140000}"/>
    <cellStyle name="Calculation 6 4 8" xfId="9499" xr:uid="{00000000-0005-0000-0000-00002C140000}"/>
    <cellStyle name="Calculation 6 4 8 2" xfId="19802" xr:uid="{00000000-0005-0000-0000-00002D140000}"/>
    <cellStyle name="Calculation 6 5" xfId="1434" xr:uid="{00000000-0005-0000-0000-00002E140000}"/>
    <cellStyle name="Calculation 6 5 2" xfId="1935" xr:uid="{00000000-0005-0000-0000-00002F140000}"/>
    <cellStyle name="Calculation 6 5 2 2" xfId="3436" xr:uid="{00000000-0005-0000-0000-000030140000}"/>
    <cellStyle name="Calculation 6 5 2 2 2" xfId="7499" xr:uid="{00000000-0005-0000-0000-000031140000}"/>
    <cellStyle name="Calculation 6 5 2 2 2 2" xfId="23475" xr:uid="{00000000-0005-0000-0000-000032140000}"/>
    <cellStyle name="Calculation 6 5 2 2 3" xfId="13773" xr:uid="{00000000-0005-0000-0000-000033140000}"/>
    <cellStyle name="Calculation 6 5 2 2 3 2" xfId="28605" xr:uid="{00000000-0005-0000-0000-000034140000}"/>
    <cellStyle name="Calculation 6 5 2 2 4" xfId="21151" xr:uid="{00000000-0005-0000-0000-000035140000}"/>
    <cellStyle name="Calculation 6 5 2 3" xfId="4914" xr:uid="{00000000-0005-0000-0000-000036140000}"/>
    <cellStyle name="Calculation 6 5 2 3 2" xfId="8953" xr:uid="{00000000-0005-0000-0000-000037140000}"/>
    <cellStyle name="Calculation 6 5 2 3 2 2" xfId="24419" xr:uid="{00000000-0005-0000-0000-000038140000}"/>
    <cellStyle name="Calculation 6 5 2 3 3" xfId="15236" xr:uid="{00000000-0005-0000-0000-000039140000}"/>
    <cellStyle name="Calculation 6 5 2 3 3 2" xfId="30068" xr:uid="{00000000-0005-0000-0000-00003A140000}"/>
    <cellStyle name="Calculation 6 5 2 3 4" xfId="21949" xr:uid="{00000000-0005-0000-0000-00003B140000}"/>
    <cellStyle name="Calculation 6 5 2 4" xfId="2904" xr:uid="{00000000-0005-0000-0000-00003C140000}"/>
    <cellStyle name="Calculation 6 5 2 4 2" xfId="6988" xr:uid="{00000000-0005-0000-0000-00003D140000}"/>
    <cellStyle name="Calculation 6 5 2 4 2 2" xfId="23162" xr:uid="{00000000-0005-0000-0000-00003E140000}"/>
    <cellStyle name="Calculation 6 5 2 4 3" xfId="13242" xr:uid="{00000000-0005-0000-0000-00003F140000}"/>
    <cellStyle name="Calculation 6 5 2 4 3 2" xfId="28074" xr:uid="{00000000-0005-0000-0000-000040140000}"/>
    <cellStyle name="Calculation 6 5 2 4 4" xfId="20830" xr:uid="{00000000-0005-0000-0000-000041140000}"/>
    <cellStyle name="Calculation 6 5 2 5" xfId="6065" xr:uid="{00000000-0005-0000-0000-000042140000}"/>
    <cellStyle name="Calculation 6 5 2 5 2" xfId="16252" xr:uid="{00000000-0005-0000-0000-000043140000}"/>
    <cellStyle name="Calculation 6 5 2 5 2 2" xfId="31084" xr:uid="{00000000-0005-0000-0000-000044140000}"/>
    <cellStyle name="Calculation 6 5 2 5 3" xfId="22598" xr:uid="{00000000-0005-0000-0000-000045140000}"/>
    <cellStyle name="Calculation 6 5 2 6" xfId="12322" xr:uid="{00000000-0005-0000-0000-000046140000}"/>
    <cellStyle name="Calculation 6 5 2 6 2" xfId="27154" xr:uid="{00000000-0005-0000-0000-000047140000}"/>
    <cellStyle name="Calculation 6 5 2 7" xfId="9919" xr:uid="{00000000-0005-0000-0000-000048140000}"/>
    <cellStyle name="Calculation 6 5 2 7 2" xfId="20121" xr:uid="{00000000-0005-0000-0000-000049140000}"/>
    <cellStyle name="Calculation 6 5 3" xfId="3748" xr:uid="{00000000-0005-0000-0000-00004A140000}"/>
    <cellStyle name="Calculation 6 5 3 2" xfId="7804" xr:uid="{00000000-0005-0000-0000-00004B140000}"/>
    <cellStyle name="Calculation 6 5 3 2 2" xfId="23675" xr:uid="{00000000-0005-0000-0000-00004C140000}"/>
    <cellStyle name="Calculation 6 5 3 3" xfId="14083" xr:uid="{00000000-0005-0000-0000-00004D140000}"/>
    <cellStyle name="Calculation 6 5 3 3 2" xfId="28915" xr:uid="{00000000-0005-0000-0000-00004E140000}"/>
    <cellStyle name="Calculation 6 5 3 4" xfId="21331" xr:uid="{00000000-0005-0000-0000-00004F140000}"/>
    <cellStyle name="Calculation 6 5 4" xfId="4494" xr:uid="{00000000-0005-0000-0000-000050140000}"/>
    <cellStyle name="Calculation 6 5 4 2" xfId="8533" xr:uid="{00000000-0005-0000-0000-000051140000}"/>
    <cellStyle name="Calculation 6 5 4 2 2" xfId="24159" xr:uid="{00000000-0005-0000-0000-000052140000}"/>
    <cellStyle name="Calculation 6 5 4 3" xfId="14821" xr:uid="{00000000-0005-0000-0000-000053140000}"/>
    <cellStyle name="Calculation 6 5 4 3 2" xfId="29653" xr:uid="{00000000-0005-0000-0000-000054140000}"/>
    <cellStyle name="Calculation 6 5 4 4" xfId="21719" xr:uid="{00000000-0005-0000-0000-000055140000}"/>
    <cellStyle name="Calculation 6 5 5" xfId="2484" xr:uid="{00000000-0005-0000-0000-000056140000}"/>
    <cellStyle name="Calculation 6 5 5 2" xfId="6590" xr:uid="{00000000-0005-0000-0000-000057140000}"/>
    <cellStyle name="Calculation 6 5 5 2 2" xfId="22928" xr:uid="{00000000-0005-0000-0000-000058140000}"/>
    <cellStyle name="Calculation 6 5 5 3" xfId="12822" xr:uid="{00000000-0005-0000-0000-000059140000}"/>
    <cellStyle name="Calculation 6 5 5 3 2" xfId="27654" xr:uid="{00000000-0005-0000-0000-00005A140000}"/>
    <cellStyle name="Calculation 6 5 5 4" xfId="20574" xr:uid="{00000000-0005-0000-0000-00005B140000}"/>
    <cellStyle name="Calculation 6 5 6" xfId="5607" xr:uid="{00000000-0005-0000-0000-00005C140000}"/>
    <cellStyle name="Calculation 6 5 6 2" xfId="15842" xr:uid="{00000000-0005-0000-0000-00005D140000}"/>
    <cellStyle name="Calculation 6 5 6 2 2" xfId="30674" xr:uid="{00000000-0005-0000-0000-00005E140000}"/>
    <cellStyle name="Calculation 6 5 6 3" xfId="22303" xr:uid="{00000000-0005-0000-0000-00005F140000}"/>
    <cellStyle name="Calculation 6 5 7" xfId="11851" xr:uid="{00000000-0005-0000-0000-000060140000}"/>
    <cellStyle name="Calculation 6 5 7 2" xfId="26683" xr:uid="{00000000-0005-0000-0000-000061140000}"/>
    <cellStyle name="Calculation 6 5 8" xfId="9524" xr:uid="{00000000-0005-0000-0000-000062140000}"/>
    <cellStyle name="Calculation 6 5 8 2" xfId="19826" xr:uid="{00000000-0005-0000-0000-000063140000}"/>
    <cellStyle name="Calculation 6 6" xfId="1726" xr:uid="{00000000-0005-0000-0000-000064140000}"/>
    <cellStyle name="Calculation 6 6 2" xfId="3727" xr:uid="{00000000-0005-0000-0000-000065140000}"/>
    <cellStyle name="Calculation 6 6 2 2" xfId="7783" xr:uid="{00000000-0005-0000-0000-000066140000}"/>
    <cellStyle name="Calculation 6 6 2 2 2" xfId="23660" xr:uid="{00000000-0005-0000-0000-000067140000}"/>
    <cellStyle name="Calculation 6 6 2 3" xfId="14062" xr:uid="{00000000-0005-0000-0000-000068140000}"/>
    <cellStyle name="Calculation 6 6 2 3 2" xfId="28894" xr:uid="{00000000-0005-0000-0000-000069140000}"/>
    <cellStyle name="Calculation 6 6 2 4" xfId="21320" xr:uid="{00000000-0005-0000-0000-00006A140000}"/>
    <cellStyle name="Calculation 6 6 3" xfId="4719" xr:uid="{00000000-0005-0000-0000-00006B140000}"/>
    <cellStyle name="Calculation 6 6 3 2" xfId="8758" xr:uid="{00000000-0005-0000-0000-00006C140000}"/>
    <cellStyle name="Calculation 6 6 3 2 2" xfId="24288" xr:uid="{00000000-0005-0000-0000-00006D140000}"/>
    <cellStyle name="Calculation 6 6 3 3" xfId="15043" xr:uid="{00000000-0005-0000-0000-00006E140000}"/>
    <cellStyle name="Calculation 6 6 3 3 2" xfId="29875" xr:uid="{00000000-0005-0000-0000-00006F140000}"/>
    <cellStyle name="Calculation 6 6 3 4" xfId="21826" xr:uid="{00000000-0005-0000-0000-000070140000}"/>
    <cellStyle name="Calculation 6 6 4" xfId="2709" xr:uid="{00000000-0005-0000-0000-000071140000}"/>
    <cellStyle name="Calculation 6 6 4 2" xfId="6800" xr:uid="{00000000-0005-0000-0000-000072140000}"/>
    <cellStyle name="Calculation 6 6 4 2 2" xfId="23039" xr:uid="{00000000-0005-0000-0000-000073140000}"/>
    <cellStyle name="Calculation 6 6 4 3" xfId="13047" xr:uid="{00000000-0005-0000-0000-000074140000}"/>
    <cellStyle name="Calculation 6 6 4 3 2" xfId="27879" xr:uid="{00000000-0005-0000-0000-000075140000}"/>
    <cellStyle name="Calculation 6 6 4 4" xfId="20699" xr:uid="{00000000-0005-0000-0000-000076140000}"/>
    <cellStyle name="Calculation 6 6 5" xfId="5858" xr:uid="{00000000-0005-0000-0000-000077140000}"/>
    <cellStyle name="Calculation 6 6 5 2" xfId="16050" xr:uid="{00000000-0005-0000-0000-000078140000}"/>
    <cellStyle name="Calculation 6 6 5 2 2" xfId="30882" xr:uid="{00000000-0005-0000-0000-000079140000}"/>
    <cellStyle name="Calculation 6 6 5 3" xfId="22455" xr:uid="{00000000-0005-0000-0000-00007A140000}"/>
    <cellStyle name="Calculation 6 6 6" xfId="12120" xr:uid="{00000000-0005-0000-0000-00007B140000}"/>
    <cellStyle name="Calculation 6 6 6 2" xfId="26952" xr:uid="{00000000-0005-0000-0000-00007C140000}"/>
    <cellStyle name="Calculation 6 6 7" xfId="9731" xr:uid="{00000000-0005-0000-0000-00007D140000}"/>
    <cellStyle name="Calculation 6 6 7 2" xfId="20029" xr:uid="{00000000-0005-0000-0000-00007E140000}"/>
    <cellStyle name="Calculation 6 7" xfId="2225" xr:uid="{00000000-0005-0000-0000-00007F140000}"/>
    <cellStyle name="Calculation 6 7 2" xfId="3501" xr:uid="{00000000-0005-0000-0000-000080140000}"/>
    <cellStyle name="Calculation 6 7 2 2" xfId="7563" xr:uid="{00000000-0005-0000-0000-000081140000}"/>
    <cellStyle name="Calculation 6 7 2 2 2" xfId="23517" xr:uid="{00000000-0005-0000-0000-000082140000}"/>
    <cellStyle name="Calculation 6 7 2 3" xfId="13838" xr:uid="{00000000-0005-0000-0000-000083140000}"/>
    <cellStyle name="Calculation 6 7 2 3 2" xfId="28670" xr:uid="{00000000-0005-0000-0000-000084140000}"/>
    <cellStyle name="Calculation 6 7 2 4" xfId="21192" xr:uid="{00000000-0005-0000-0000-000085140000}"/>
    <cellStyle name="Calculation 6 7 3" xfId="5193" xr:uid="{00000000-0005-0000-0000-000086140000}"/>
    <cellStyle name="Calculation 6 7 3 2" xfId="9232" xr:uid="{00000000-0005-0000-0000-000087140000}"/>
    <cellStyle name="Calculation 6 7 3 2 2" xfId="24570" xr:uid="{00000000-0005-0000-0000-000088140000}"/>
    <cellStyle name="Calculation 6 7 3 3" xfId="15511" xr:uid="{00000000-0005-0000-0000-000089140000}"/>
    <cellStyle name="Calculation 6 7 3 3 2" xfId="30343" xr:uid="{00000000-0005-0000-0000-00008A140000}"/>
    <cellStyle name="Calculation 6 7 3 4" xfId="22077" xr:uid="{00000000-0005-0000-0000-00008B140000}"/>
    <cellStyle name="Calculation 6 7 4" xfId="4223" xr:uid="{00000000-0005-0000-0000-00008C140000}"/>
    <cellStyle name="Calculation 6 7 4 2" xfId="8264" xr:uid="{00000000-0005-0000-0000-00008D140000}"/>
    <cellStyle name="Calculation 6 7 4 2 2" xfId="23959" xr:uid="{00000000-0005-0000-0000-00008E140000}"/>
    <cellStyle name="Calculation 6 7 4 3" xfId="14555" xr:uid="{00000000-0005-0000-0000-00008F140000}"/>
    <cellStyle name="Calculation 6 7 4 3 2" xfId="29387" xr:uid="{00000000-0005-0000-0000-000090140000}"/>
    <cellStyle name="Calculation 6 7 4 4" xfId="21584" xr:uid="{00000000-0005-0000-0000-000091140000}"/>
    <cellStyle name="Calculation 6 7 5" xfId="6339" xr:uid="{00000000-0005-0000-0000-000092140000}"/>
    <cellStyle name="Calculation 6 7 5 2" xfId="22741" xr:uid="{00000000-0005-0000-0000-000093140000}"/>
    <cellStyle name="Calculation 6 7 6" xfId="12593" xr:uid="{00000000-0005-0000-0000-000094140000}"/>
    <cellStyle name="Calculation 6 7 6 2" xfId="27425" xr:uid="{00000000-0005-0000-0000-000095140000}"/>
    <cellStyle name="Calculation 6 7 7" xfId="20420" xr:uid="{00000000-0005-0000-0000-000096140000}"/>
    <cellStyle name="Calculation 6 8" xfId="3978" xr:uid="{00000000-0005-0000-0000-000097140000}"/>
    <cellStyle name="Calculation 6 8 2" xfId="8027" xr:uid="{00000000-0005-0000-0000-000098140000}"/>
    <cellStyle name="Calculation 6 8 2 2" xfId="23817" xr:uid="{00000000-0005-0000-0000-000099140000}"/>
    <cellStyle name="Calculation 6 8 3" xfId="14311" xr:uid="{00000000-0005-0000-0000-00009A140000}"/>
    <cellStyle name="Calculation 6 8 3 2" xfId="29143" xr:uid="{00000000-0005-0000-0000-00009B140000}"/>
    <cellStyle name="Calculation 6 8 4" xfId="21455" xr:uid="{00000000-0005-0000-0000-00009C140000}"/>
    <cellStyle name="Calculation 6 9" xfId="3354" xr:uid="{00000000-0005-0000-0000-00009D140000}"/>
    <cellStyle name="Calculation 6 9 2" xfId="7417" xr:uid="{00000000-0005-0000-0000-00009E140000}"/>
    <cellStyle name="Calculation 6 9 2 2" xfId="23419" xr:uid="{00000000-0005-0000-0000-00009F140000}"/>
    <cellStyle name="Calculation 6 9 3" xfId="13691" xr:uid="{00000000-0005-0000-0000-0000A0140000}"/>
    <cellStyle name="Calculation 6 9 3 2" xfId="28523" xr:uid="{00000000-0005-0000-0000-0000A1140000}"/>
    <cellStyle name="Calculation 6 9 4" xfId="21104" xr:uid="{00000000-0005-0000-0000-0000A2140000}"/>
    <cellStyle name="Calculation 7" xfId="974" xr:uid="{00000000-0005-0000-0000-0000A3140000}"/>
    <cellStyle name="Calculation 7 10" xfId="2280" xr:uid="{00000000-0005-0000-0000-0000A4140000}"/>
    <cellStyle name="Calculation 7 10 2" xfId="6392" xr:uid="{00000000-0005-0000-0000-0000A5140000}"/>
    <cellStyle name="Calculation 7 10 2 2" xfId="22794" xr:uid="{00000000-0005-0000-0000-0000A6140000}"/>
    <cellStyle name="Calculation 7 10 3" xfId="12620" xr:uid="{00000000-0005-0000-0000-0000A7140000}"/>
    <cellStyle name="Calculation 7 10 3 2" xfId="27452" xr:uid="{00000000-0005-0000-0000-0000A8140000}"/>
    <cellStyle name="Calculation 7 10 4" xfId="20446" xr:uid="{00000000-0005-0000-0000-0000A9140000}"/>
    <cellStyle name="Calculation 7 11" xfId="5246" xr:uid="{00000000-0005-0000-0000-0000AA140000}"/>
    <cellStyle name="Calculation 7 11 2" xfId="15562" xr:uid="{00000000-0005-0000-0000-0000AB140000}"/>
    <cellStyle name="Calculation 7 11 2 2" xfId="30394" xr:uid="{00000000-0005-0000-0000-0000AC140000}"/>
    <cellStyle name="Calculation 7 11 3" xfId="22103" xr:uid="{00000000-0005-0000-0000-0000AD140000}"/>
    <cellStyle name="Calculation 7 12" xfId="5404" xr:uid="{00000000-0005-0000-0000-0000AE140000}"/>
    <cellStyle name="Calculation 7 12 2" xfId="15640" xr:uid="{00000000-0005-0000-0000-0000AF140000}"/>
    <cellStyle name="Calculation 7 12 2 2" xfId="30472" xr:uid="{00000000-0005-0000-0000-0000B0140000}"/>
    <cellStyle name="Calculation 7 12 3" xfId="22165" xr:uid="{00000000-0005-0000-0000-0000B1140000}"/>
    <cellStyle name="Calculation 7 13" xfId="9387" xr:uid="{00000000-0005-0000-0000-0000B2140000}"/>
    <cellStyle name="Calculation 7 13 2" xfId="24693" xr:uid="{00000000-0005-0000-0000-0000B3140000}"/>
    <cellStyle name="Calculation 7 14" xfId="7088" xr:uid="{00000000-0005-0000-0000-0000B4140000}"/>
    <cellStyle name="Calculation 7 14 2" xfId="18869" xr:uid="{00000000-0005-0000-0000-0000B5140000}"/>
    <cellStyle name="Calculation 7 2" xfId="1316" xr:uid="{00000000-0005-0000-0000-0000B6140000}"/>
    <cellStyle name="Calculation 7 2 2" xfId="1820" xr:uid="{00000000-0005-0000-0000-0000B7140000}"/>
    <cellStyle name="Calculation 7 2 2 2" xfId="4040" xr:uid="{00000000-0005-0000-0000-0000B8140000}"/>
    <cellStyle name="Calculation 7 2 2 2 2" xfId="8087" xr:uid="{00000000-0005-0000-0000-0000B9140000}"/>
    <cellStyle name="Calculation 7 2 2 2 2 2" xfId="23853" xr:uid="{00000000-0005-0000-0000-0000BA140000}"/>
    <cellStyle name="Calculation 7 2 2 2 3" xfId="14372" xr:uid="{00000000-0005-0000-0000-0000BB140000}"/>
    <cellStyle name="Calculation 7 2 2 2 3 2" xfId="29204" xr:uid="{00000000-0005-0000-0000-0000BC140000}"/>
    <cellStyle name="Calculation 7 2 2 2 4" xfId="21487" xr:uid="{00000000-0005-0000-0000-0000BD140000}"/>
    <cellStyle name="Calculation 7 2 2 3" xfId="4798" xr:uid="{00000000-0005-0000-0000-0000BE140000}"/>
    <cellStyle name="Calculation 7 2 2 3 2" xfId="8837" xr:uid="{00000000-0005-0000-0000-0000BF140000}"/>
    <cellStyle name="Calculation 7 2 2 3 2 2" xfId="24335" xr:uid="{00000000-0005-0000-0000-0000C0140000}"/>
    <cellStyle name="Calculation 7 2 2 3 3" xfId="15122" xr:uid="{00000000-0005-0000-0000-0000C1140000}"/>
    <cellStyle name="Calculation 7 2 2 3 3 2" xfId="29954" xr:uid="{00000000-0005-0000-0000-0000C2140000}"/>
    <cellStyle name="Calculation 7 2 2 3 4" xfId="21873" xr:uid="{00000000-0005-0000-0000-0000C3140000}"/>
    <cellStyle name="Calculation 7 2 2 4" xfId="2788" xr:uid="{00000000-0005-0000-0000-0000C4140000}"/>
    <cellStyle name="Calculation 7 2 2 4 2" xfId="6879" xr:uid="{00000000-0005-0000-0000-0000C5140000}"/>
    <cellStyle name="Calculation 7 2 2 4 2 2" xfId="23086" xr:uid="{00000000-0005-0000-0000-0000C6140000}"/>
    <cellStyle name="Calculation 7 2 2 4 3" xfId="13126" xr:uid="{00000000-0005-0000-0000-0000C7140000}"/>
    <cellStyle name="Calculation 7 2 2 4 3 2" xfId="27958" xr:uid="{00000000-0005-0000-0000-0000C8140000}"/>
    <cellStyle name="Calculation 7 2 2 4 4" xfId="20746" xr:uid="{00000000-0005-0000-0000-0000C9140000}"/>
    <cellStyle name="Calculation 7 2 2 5" xfId="5952" xr:uid="{00000000-0005-0000-0000-0000CA140000}"/>
    <cellStyle name="Calculation 7 2 2 5 2" xfId="16144" xr:uid="{00000000-0005-0000-0000-0000CB140000}"/>
    <cellStyle name="Calculation 7 2 2 5 2 2" xfId="30976" xr:uid="{00000000-0005-0000-0000-0000CC140000}"/>
    <cellStyle name="Calculation 7 2 2 5 3" xfId="22517" xr:uid="{00000000-0005-0000-0000-0000CD140000}"/>
    <cellStyle name="Calculation 7 2 2 6" xfId="12214" xr:uid="{00000000-0005-0000-0000-0000CE140000}"/>
    <cellStyle name="Calculation 7 2 2 6 2" xfId="27046" xr:uid="{00000000-0005-0000-0000-0000CF140000}"/>
    <cellStyle name="Calculation 7 2 2 7" xfId="9810" xr:uid="{00000000-0005-0000-0000-0000D0140000}"/>
    <cellStyle name="Calculation 7 2 2 7 2" xfId="20061" xr:uid="{00000000-0005-0000-0000-0000D1140000}"/>
    <cellStyle name="Calculation 7 2 3" xfId="3248" xr:uid="{00000000-0005-0000-0000-0000D2140000}"/>
    <cellStyle name="Calculation 7 2 3 2" xfId="7312" xr:uid="{00000000-0005-0000-0000-0000D3140000}"/>
    <cellStyle name="Calculation 7 2 3 2 2" xfId="23351" xr:uid="{00000000-0005-0000-0000-0000D4140000}"/>
    <cellStyle name="Calculation 7 2 3 3" xfId="13585" xr:uid="{00000000-0005-0000-0000-0000D5140000}"/>
    <cellStyle name="Calculation 7 2 3 3 2" xfId="28417" xr:uid="{00000000-0005-0000-0000-0000D6140000}"/>
    <cellStyle name="Calculation 7 2 3 4" xfId="21038" xr:uid="{00000000-0005-0000-0000-0000D7140000}"/>
    <cellStyle name="Calculation 7 2 4" xfId="4378" xr:uid="{00000000-0005-0000-0000-0000D8140000}"/>
    <cellStyle name="Calculation 7 2 4 2" xfId="8417" xr:uid="{00000000-0005-0000-0000-0000D9140000}"/>
    <cellStyle name="Calculation 7 2 4 2 2" xfId="24075" xr:uid="{00000000-0005-0000-0000-0000DA140000}"/>
    <cellStyle name="Calculation 7 2 4 3" xfId="14707" xr:uid="{00000000-0005-0000-0000-0000DB140000}"/>
    <cellStyle name="Calculation 7 2 4 3 2" xfId="29539" xr:uid="{00000000-0005-0000-0000-0000DC140000}"/>
    <cellStyle name="Calculation 7 2 4 4" xfId="21643" xr:uid="{00000000-0005-0000-0000-0000DD140000}"/>
    <cellStyle name="Calculation 7 2 5" xfId="2368" xr:uid="{00000000-0005-0000-0000-0000DE140000}"/>
    <cellStyle name="Calculation 7 2 5 2" xfId="6480" xr:uid="{00000000-0005-0000-0000-0000DF140000}"/>
    <cellStyle name="Calculation 7 2 5 2 2" xfId="22850" xr:uid="{00000000-0005-0000-0000-0000E0140000}"/>
    <cellStyle name="Calculation 7 2 5 3" xfId="12707" xr:uid="{00000000-0005-0000-0000-0000E1140000}"/>
    <cellStyle name="Calculation 7 2 5 3 2" xfId="27539" xr:uid="{00000000-0005-0000-0000-0000E2140000}"/>
    <cellStyle name="Calculation 7 2 5 4" xfId="20492" xr:uid="{00000000-0005-0000-0000-0000E3140000}"/>
    <cellStyle name="Calculation 7 2 6" xfId="5493" xr:uid="{00000000-0005-0000-0000-0000E4140000}"/>
    <cellStyle name="Calculation 7 2 6 2" xfId="15728" xr:uid="{00000000-0005-0000-0000-0000E5140000}"/>
    <cellStyle name="Calculation 7 2 6 2 2" xfId="30560" xr:uid="{00000000-0005-0000-0000-0000E6140000}"/>
    <cellStyle name="Calculation 7 2 6 3" xfId="22221" xr:uid="{00000000-0005-0000-0000-0000E7140000}"/>
    <cellStyle name="Calculation 7 2 7" xfId="11743" xr:uid="{00000000-0005-0000-0000-0000E8140000}"/>
    <cellStyle name="Calculation 7 2 7 2" xfId="26575" xr:uid="{00000000-0005-0000-0000-0000E9140000}"/>
    <cellStyle name="Calculation 7 2 8" xfId="9414" xr:uid="{00000000-0005-0000-0000-0000EA140000}"/>
    <cellStyle name="Calculation 7 2 8 2" xfId="19718" xr:uid="{00000000-0005-0000-0000-0000EB140000}"/>
    <cellStyle name="Calculation 7 3" xfId="1450" xr:uid="{00000000-0005-0000-0000-0000EC140000}"/>
    <cellStyle name="Calculation 7 3 2" xfId="1951" xr:uid="{00000000-0005-0000-0000-0000ED140000}"/>
    <cellStyle name="Calculation 7 3 2 2" xfId="4100" xr:uid="{00000000-0005-0000-0000-0000EE140000}"/>
    <cellStyle name="Calculation 7 3 2 2 2" xfId="8146" xr:uid="{00000000-0005-0000-0000-0000EF140000}"/>
    <cellStyle name="Calculation 7 3 2 2 2 2" xfId="23891" xr:uid="{00000000-0005-0000-0000-0000F0140000}"/>
    <cellStyle name="Calculation 7 3 2 2 3" xfId="14432" xr:uid="{00000000-0005-0000-0000-0000F1140000}"/>
    <cellStyle name="Calculation 7 3 2 2 3 2" xfId="29264" xr:uid="{00000000-0005-0000-0000-0000F2140000}"/>
    <cellStyle name="Calculation 7 3 2 2 4" xfId="21521" xr:uid="{00000000-0005-0000-0000-0000F3140000}"/>
    <cellStyle name="Calculation 7 3 2 3" xfId="4930" xr:uid="{00000000-0005-0000-0000-0000F4140000}"/>
    <cellStyle name="Calculation 7 3 2 3 2" xfId="8969" xr:uid="{00000000-0005-0000-0000-0000F5140000}"/>
    <cellStyle name="Calculation 7 3 2 3 2 2" xfId="24435" xr:uid="{00000000-0005-0000-0000-0000F6140000}"/>
    <cellStyle name="Calculation 7 3 2 3 3" xfId="15252" xr:uid="{00000000-0005-0000-0000-0000F7140000}"/>
    <cellStyle name="Calculation 7 3 2 3 3 2" xfId="30084" xr:uid="{00000000-0005-0000-0000-0000F8140000}"/>
    <cellStyle name="Calculation 7 3 2 3 4" xfId="21965" xr:uid="{00000000-0005-0000-0000-0000F9140000}"/>
    <cellStyle name="Calculation 7 3 2 4" xfId="2920" xr:uid="{00000000-0005-0000-0000-0000FA140000}"/>
    <cellStyle name="Calculation 7 3 2 4 2" xfId="7004" xr:uid="{00000000-0005-0000-0000-0000FB140000}"/>
    <cellStyle name="Calculation 7 3 2 4 2 2" xfId="23178" xr:uid="{00000000-0005-0000-0000-0000FC140000}"/>
    <cellStyle name="Calculation 7 3 2 4 3" xfId="13258" xr:uid="{00000000-0005-0000-0000-0000FD140000}"/>
    <cellStyle name="Calculation 7 3 2 4 3 2" xfId="28090" xr:uid="{00000000-0005-0000-0000-0000FE140000}"/>
    <cellStyle name="Calculation 7 3 2 4 4" xfId="20846" xr:uid="{00000000-0005-0000-0000-0000FF140000}"/>
    <cellStyle name="Calculation 7 3 2 5" xfId="6081" xr:uid="{00000000-0005-0000-0000-000000150000}"/>
    <cellStyle name="Calculation 7 3 2 5 2" xfId="16268" xr:uid="{00000000-0005-0000-0000-000001150000}"/>
    <cellStyle name="Calculation 7 3 2 5 2 2" xfId="31100" xr:uid="{00000000-0005-0000-0000-000002150000}"/>
    <cellStyle name="Calculation 7 3 2 5 3" xfId="22614" xr:uid="{00000000-0005-0000-0000-000003150000}"/>
    <cellStyle name="Calculation 7 3 2 6" xfId="12338" xr:uid="{00000000-0005-0000-0000-000004150000}"/>
    <cellStyle name="Calculation 7 3 2 6 2" xfId="27170" xr:uid="{00000000-0005-0000-0000-000005150000}"/>
    <cellStyle name="Calculation 7 3 2 7" xfId="9935" xr:uid="{00000000-0005-0000-0000-000006150000}"/>
    <cellStyle name="Calculation 7 3 2 7 2" xfId="20137" xr:uid="{00000000-0005-0000-0000-000007150000}"/>
    <cellStyle name="Calculation 7 3 3" xfId="3981" xr:uid="{00000000-0005-0000-0000-000008150000}"/>
    <cellStyle name="Calculation 7 3 3 2" xfId="8030" xr:uid="{00000000-0005-0000-0000-000009150000}"/>
    <cellStyle name="Calculation 7 3 3 2 2" xfId="23820" xr:uid="{00000000-0005-0000-0000-00000A150000}"/>
    <cellStyle name="Calculation 7 3 3 3" xfId="14314" xr:uid="{00000000-0005-0000-0000-00000B150000}"/>
    <cellStyle name="Calculation 7 3 3 3 2" xfId="29146" xr:uid="{00000000-0005-0000-0000-00000C150000}"/>
    <cellStyle name="Calculation 7 3 3 4" xfId="21458" xr:uid="{00000000-0005-0000-0000-00000D150000}"/>
    <cellStyle name="Calculation 7 3 4" xfId="4510" xr:uid="{00000000-0005-0000-0000-00000E150000}"/>
    <cellStyle name="Calculation 7 3 4 2" xfId="8549" xr:uid="{00000000-0005-0000-0000-00000F150000}"/>
    <cellStyle name="Calculation 7 3 4 2 2" xfId="24175" xr:uid="{00000000-0005-0000-0000-000010150000}"/>
    <cellStyle name="Calculation 7 3 4 3" xfId="14837" xr:uid="{00000000-0005-0000-0000-000011150000}"/>
    <cellStyle name="Calculation 7 3 4 3 2" xfId="29669" xr:uid="{00000000-0005-0000-0000-000012150000}"/>
    <cellStyle name="Calculation 7 3 4 4" xfId="21735" xr:uid="{00000000-0005-0000-0000-000013150000}"/>
    <cellStyle name="Calculation 7 3 5" xfId="2500" xr:uid="{00000000-0005-0000-0000-000014150000}"/>
    <cellStyle name="Calculation 7 3 5 2" xfId="6606" xr:uid="{00000000-0005-0000-0000-000015150000}"/>
    <cellStyle name="Calculation 7 3 5 2 2" xfId="22944" xr:uid="{00000000-0005-0000-0000-000016150000}"/>
    <cellStyle name="Calculation 7 3 5 3" xfId="12838" xr:uid="{00000000-0005-0000-0000-000017150000}"/>
    <cellStyle name="Calculation 7 3 5 3 2" xfId="27670" xr:uid="{00000000-0005-0000-0000-000018150000}"/>
    <cellStyle name="Calculation 7 3 5 4" xfId="20590" xr:uid="{00000000-0005-0000-0000-000019150000}"/>
    <cellStyle name="Calculation 7 3 6" xfId="5623" xr:uid="{00000000-0005-0000-0000-00001A150000}"/>
    <cellStyle name="Calculation 7 3 6 2" xfId="15858" xr:uid="{00000000-0005-0000-0000-00001B150000}"/>
    <cellStyle name="Calculation 7 3 6 2 2" xfId="30690" xr:uid="{00000000-0005-0000-0000-00001C150000}"/>
    <cellStyle name="Calculation 7 3 6 3" xfId="22319" xr:uid="{00000000-0005-0000-0000-00001D150000}"/>
    <cellStyle name="Calculation 7 3 7" xfId="11867" xr:uid="{00000000-0005-0000-0000-00001E150000}"/>
    <cellStyle name="Calculation 7 3 7 2" xfId="26699" xr:uid="{00000000-0005-0000-0000-00001F150000}"/>
    <cellStyle name="Calculation 7 3 8" xfId="9540" xr:uid="{00000000-0005-0000-0000-000020150000}"/>
    <cellStyle name="Calculation 7 3 8 2" xfId="19842" xr:uid="{00000000-0005-0000-0000-000021150000}"/>
    <cellStyle name="Calculation 7 4" xfId="1407" xr:uid="{00000000-0005-0000-0000-000022150000}"/>
    <cellStyle name="Calculation 7 4 2" xfId="1909" xr:uid="{00000000-0005-0000-0000-000023150000}"/>
    <cellStyle name="Calculation 7 4 2 2" xfId="3520" xr:uid="{00000000-0005-0000-0000-000024150000}"/>
    <cellStyle name="Calculation 7 4 2 2 2" xfId="7582" xr:uid="{00000000-0005-0000-0000-000025150000}"/>
    <cellStyle name="Calculation 7 4 2 2 2 2" xfId="23530" xr:uid="{00000000-0005-0000-0000-000026150000}"/>
    <cellStyle name="Calculation 7 4 2 2 3" xfId="13857" xr:uid="{00000000-0005-0000-0000-000027150000}"/>
    <cellStyle name="Calculation 7 4 2 2 3 2" xfId="28689" xr:uid="{00000000-0005-0000-0000-000028150000}"/>
    <cellStyle name="Calculation 7 4 2 2 4" xfId="21205" xr:uid="{00000000-0005-0000-0000-000029150000}"/>
    <cellStyle name="Calculation 7 4 2 3" xfId="4887" xr:uid="{00000000-0005-0000-0000-00002A150000}"/>
    <cellStyle name="Calculation 7 4 2 3 2" xfId="8926" xr:uid="{00000000-0005-0000-0000-00002B150000}"/>
    <cellStyle name="Calculation 7 4 2 3 2 2" xfId="24392" xr:uid="{00000000-0005-0000-0000-00002C150000}"/>
    <cellStyle name="Calculation 7 4 2 3 3" xfId="15210" xr:uid="{00000000-0005-0000-0000-00002D150000}"/>
    <cellStyle name="Calculation 7 4 2 3 3 2" xfId="30042" xr:uid="{00000000-0005-0000-0000-00002E150000}"/>
    <cellStyle name="Calculation 7 4 2 3 4" xfId="21924" xr:uid="{00000000-0005-0000-0000-00002F150000}"/>
    <cellStyle name="Calculation 7 4 2 4" xfId="2877" xr:uid="{00000000-0005-0000-0000-000030150000}"/>
    <cellStyle name="Calculation 7 4 2 4 2" xfId="6962" xr:uid="{00000000-0005-0000-0000-000031150000}"/>
    <cellStyle name="Calculation 7 4 2 4 2 2" xfId="23137" xr:uid="{00000000-0005-0000-0000-000032150000}"/>
    <cellStyle name="Calculation 7 4 2 4 3" xfId="13215" xr:uid="{00000000-0005-0000-0000-000033150000}"/>
    <cellStyle name="Calculation 7 4 2 4 3 2" xfId="28047" xr:uid="{00000000-0005-0000-0000-000034150000}"/>
    <cellStyle name="Calculation 7 4 2 4 4" xfId="20803" xr:uid="{00000000-0005-0000-0000-000035150000}"/>
    <cellStyle name="Calculation 7 4 2 5" xfId="6040" xr:uid="{00000000-0005-0000-0000-000036150000}"/>
    <cellStyle name="Calculation 7 4 2 5 2" xfId="16227" xr:uid="{00000000-0005-0000-0000-000037150000}"/>
    <cellStyle name="Calculation 7 4 2 5 2 2" xfId="31059" xr:uid="{00000000-0005-0000-0000-000038150000}"/>
    <cellStyle name="Calculation 7 4 2 5 3" xfId="22573" xr:uid="{00000000-0005-0000-0000-000039150000}"/>
    <cellStyle name="Calculation 7 4 2 6" xfId="12297" xr:uid="{00000000-0005-0000-0000-00003A150000}"/>
    <cellStyle name="Calculation 7 4 2 6 2" xfId="27129" xr:uid="{00000000-0005-0000-0000-00003B150000}"/>
    <cellStyle name="Calculation 7 4 2 7" xfId="9893" xr:uid="{00000000-0005-0000-0000-00003C150000}"/>
    <cellStyle name="Calculation 7 4 2 7 2" xfId="20096" xr:uid="{00000000-0005-0000-0000-00003D150000}"/>
    <cellStyle name="Calculation 7 4 3" xfId="3568" xr:uid="{00000000-0005-0000-0000-00003E150000}"/>
    <cellStyle name="Calculation 7 4 3 2" xfId="7630" xr:uid="{00000000-0005-0000-0000-00003F150000}"/>
    <cellStyle name="Calculation 7 4 3 2 2" xfId="23556" xr:uid="{00000000-0005-0000-0000-000040150000}"/>
    <cellStyle name="Calculation 7 4 3 3" xfId="13904" xr:uid="{00000000-0005-0000-0000-000041150000}"/>
    <cellStyle name="Calculation 7 4 3 3 2" xfId="28736" xr:uid="{00000000-0005-0000-0000-000042150000}"/>
    <cellStyle name="Calculation 7 4 3 4" xfId="21226" xr:uid="{00000000-0005-0000-0000-000043150000}"/>
    <cellStyle name="Calculation 7 4 4" xfId="4467" xr:uid="{00000000-0005-0000-0000-000044150000}"/>
    <cellStyle name="Calculation 7 4 4 2" xfId="8506" xr:uid="{00000000-0005-0000-0000-000045150000}"/>
    <cellStyle name="Calculation 7 4 4 2 2" xfId="24132" xr:uid="{00000000-0005-0000-0000-000046150000}"/>
    <cellStyle name="Calculation 7 4 4 3" xfId="14795" xr:uid="{00000000-0005-0000-0000-000047150000}"/>
    <cellStyle name="Calculation 7 4 4 3 2" xfId="29627" xr:uid="{00000000-0005-0000-0000-000048150000}"/>
    <cellStyle name="Calculation 7 4 4 4" xfId="21694" xr:uid="{00000000-0005-0000-0000-000049150000}"/>
    <cellStyle name="Calculation 7 4 5" xfId="2457" xr:uid="{00000000-0005-0000-0000-00004A150000}"/>
    <cellStyle name="Calculation 7 4 5 2" xfId="6563" xr:uid="{00000000-0005-0000-0000-00004B150000}"/>
    <cellStyle name="Calculation 7 4 5 2 2" xfId="22901" xr:uid="{00000000-0005-0000-0000-00004C150000}"/>
    <cellStyle name="Calculation 7 4 5 3" xfId="12796" xr:uid="{00000000-0005-0000-0000-00004D150000}"/>
    <cellStyle name="Calculation 7 4 5 3 2" xfId="27628" xr:uid="{00000000-0005-0000-0000-00004E150000}"/>
    <cellStyle name="Calculation 7 4 5 4" xfId="20549" xr:uid="{00000000-0005-0000-0000-00004F150000}"/>
    <cellStyle name="Calculation 7 4 6" xfId="5581" xr:uid="{00000000-0005-0000-0000-000050150000}"/>
    <cellStyle name="Calculation 7 4 6 2" xfId="15816" xr:uid="{00000000-0005-0000-0000-000051150000}"/>
    <cellStyle name="Calculation 7 4 6 2 2" xfId="30648" xr:uid="{00000000-0005-0000-0000-000052150000}"/>
    <cellStyle name="Calculation 7 4 6 3" xfId="22277" xr:uid="{00000000-0005-0000-0000-000053150000}"/>
    <cellStyle name="Calculation 7 4 7" xfId="11826" xr:uid="{00000000-0005-0000-0000-000054150000}"/>
    <cellStyle name="Calculation 7 4 7 2" xfId="26658" xr:uid="{00000000-0005-0000-0000-000055150000}"/>
    <cellStyle name="Calculation 7 4 8" xfId="9498" xr:uid="{00000000-0005-0000-0000-000056150000}"/>
    <cellStyle name="Calculation 7 4 8 2" xfId="19801" xr:uid="{00000000-0005-0000-0000-000057150000}"/>
    <cellStyle name="Calculation 7 5" xfId="1435" xr:uid="{00000000-0005-0000-0000-000058150000}"/>
    <cellStyle name="Calculation 7 5 2" xfId="1936" xr:uid="{00000000-0005-0000-0000-000059150000}"/>
    <cellStyle name="Calculation 7 5 2 2" xfId="3895" xr:uid="{00000000-0005-0000-0000-00005A150000}"/>
    <cellStyle name="Calculation 7 5 2 2 2" xfId="7946" xr:uid="{00000000-0005-0000-0000-00005B150000}"/>
    <cellStyle name="Calculation 7 5 2 2 2 2" xfId="23766" xr:uid="{00000000-0005-0000-0000-00005C150000}"/>
    <cellStyle name="Calculation 7 5 2 2 3" xfId="14228" xr:uid="{00000000-0005-0000-0000-00005D150000}"/>
    <cellStyle name="Calculation 7 5 2 2 3 2" xfId="29060" xr:uid="{00000000-0005-0000-0000-00005E150000}"/>
    <cellStyle name="Calculation 7 5 2 2 4" xfId="21407" xr:uid="{00000000-0005-0000-0000-00005F150000}"/>
    <cellStyle name="Calculation 7 5 2 3" xfId="4915" xr:uid="{00000000-0005-0000-0000-000060150000}"/>
    <cellStyle name="Calculation 7 5 2 3 2" xfId="8954" xr:uid="{00000000-0005-0000-0000-000061150000}"/>
    <cellStyle name="Calculation 7 5 2 3 2 2" xfId="24420" xr:uid="{00000000-0005-0000-0000-000062150000}"/>
    <cellStyle name="Calculation 7 5 2 3 3" xfId="15237" xr:uid="{00000000-0005-0000-0000-000063150000}"/>
    <cellStyle name="Calculation 7 5 2 3 3 2" xfId="30069" xr:uid="{00000000-0005-0000-0000-000064150000}"/>
    <cellStyle name="Calculation 7 5 2 3 4" xfId="21950" xr:uid="{00000000-0005-0000-0000-000065150000}"/>
    <cellStyle name="Calculation 7 5 2 4" xfId="2905" xr:uid="{00000000-0005-0000-0000-000066150000}"/>
    <cellStyle name="Calculation 7 5 2 4 2" xfId="6989" xr:uid="{00000000-0005-0000-0000-000067150000}"/>
    <cellStyle name="Calculation 7 5 2 4 2 2" xfId="23163" xr:uid="{00000000-0005-0000-0000-000068150000}"/>
    <cellStyle name="Calculation 7 5 2 4 3" xfId="13243" xr:uid="{00000000-0005-0000-0000-000069150000}"/>
    <cellStyle name="Calculation 7 5 2 4 3 2" xfId="28075" xr:uid="{00000000-0005-0000-0000-00006A150000}"/>
    <cellStyle name="Calculation 7 5 2 4 4" xfId="20831" xr:uid="{00000000-0005-0000-0000-00006B150000}"/>
    <cellStyle name="Calculation 7 5 2 5" xfId="6066" xr:uid="{00000000-0005-0000-0000-00006C150000}"/>
    <cellStyle name="Calculation 7 5 2 5 2" xfId="16253" xr:uid="{00000000-0005-0000-0000-00006D150000}"/>
    <cellStyle name="Calculation 7 5 2 5 2 2" xfId="31085" xr:uid="{00000000-0005-0000-0000-00006E150000}"/>
    <cellStyle name="Calculation 7 5 2 5 3" xfId="22599" xr:uid="{00000000-0005-0000-0000-00006F150000}"/>
    <cellStyle name="Calculation 7 5 2 6" xfId="12323" xr:uid="{00000000-0005-0000-0000-000070150000}"/>
    <cellStyle name="Calculation 7 5 2 6 2" xfId="27155" xr:uid="{00000000-0005-0000-0000-000071150000}"/>
    <cellStyle name="Calculation 7 5 2 7" xfId="9920" xr:uid="{00000000-0005-0000-0000-000072150000}"/>
    <cellStyle name="Calculation 7 5 2 7 2" xfId="20122" xr:uid="{00000000-0005-0000-0000-000073150000}"/>
    <cellStyle name="Calculation 7 5 3" xfId="3877" xr:uid="{00000000-0005-0000-0000-000074150000}"/>
    <cellStyle name="Calculation 7 5 3 2" xfId="7929" xr:uid="{00000000-0005-0000-0000-000075150000}"/>
    <cellStyle name="Calculation 7 5 3 2 2" xfId="23756" xr:uid="{00000000-0005-0000-0000-000076150000}"/>
    <cellStyle name="Calculation 7 5 3 3" xfId="14212" xr:uid="{00000000-0005-0000-0000-000077150000}"/>
    <cellStyle name="Calculation 7 5 3 3 2" xfId="29044" xr:uid="{00000000-0005-0000-0000-000078150000}"/>
    <cellStyle name="Calculation 7 5 3 4" xfId="21398" xr:uid="{00000000-0005-0000-0000-000079150000}"/>
    <cellStyle name="Calculation 7 5 4" xfId="4495" xr:uid="{00000000-0005-0000-0000-00007A150000}"/>
    <cellStyle name="Calculation 7 5 4 2" xfId="8534" xr:uid="{00000000-0005-0000-0000-00007B150000}"/>
    <cellStyle name="Calculation 7 5 4 2 2" xfId="24160" xr:uid="{00000000-0005-0000-0000-00007C150000}"/>
    <cellStyle name="Calculation 7 5 4 3" xfId="14822" xr:uid="{00000000-0005-0000-0000-00007D150000}"/>
    <cellStyle name="Calculation 7 5 4 3 2" xfId="29654" xr:uid="{00000000-0005-0000-0000-00007E150000}"/>
    <cellStyle name="Calculation 7 5 4 4" xfId="21720" xr:uid="{00000000-0005-0000-0000-00007F150000}"/>
    <cellStyle name="Calculation 7 5 5" xfId="2485" xr:uid="{00000000-0005-0000-0000-000080150000}"/>
    <cellStyle name="Calculation 7 5 5 2" xfId="6591" xr:uid="{00000000-0005-0000-0000-000081150000}"/>
    <cellStyle name="Calculation 7 5 5 2 2" xfId="22929" xr:uid="{00000000-0005-0000-0000-000082150000}"/>
    <cellStyle name="Calculation 7 5 5 3" xfId="12823" xr:uid="{00000000-0005-0000-0000-000083150000}"/>
    <cellStyle name="Calculation 7 5 5 3 2" xfId="27655" xr:uid="{00000000-0005-0000-0000-000084150000}"/>
    <cellStyle name="Calculation 7 5 5 4" xfId="20575" xr:uid="{00000000-0005-0000-0000-000085150000}"/>
    <cellStyle name="Calculation 7 5 6" xfId="5608" xr:uid="{00000000-0005-0000-0000-000086150000}"/>
    <cellStyle name="Calculation 7 5 6 2" xfId="15843" xr:uid="{00000000-0005-0000-0000-000087150000}"/>
    <cellStyle name="Calculation 7 5 6 2 2" xfId="30675" xr:uid="{00000000-0005-0000-0000-000088150000}"/>
    <cellStyle name="Calculation 7 5 6 3" xfId="22304" xr:uid="{00000000-0005-0000-0000-000089150000}"/>
    <cellStyle name="Calculation 7 5 7" xfId="11852" xr:uid="{00000000-0005-0000-0000-00008A150000}"/>
    <cellStyle name="Calculation 7 5 7 2" xfId="26684" xr:uid="{00000000-0005-0000-0000-00008B150000}"/>
    <cellStyle name="Calculation 7 5 8" xfId="9525" xr:uid="{00000000-0005-0000-0000-00008C150000}"/>
    <cellStyle name="Calculation 7 5 8 2" xfId="19827" xr:uid="{00000000-0005-0000-0000-00008D150000}"/>
    <cellStyle name="Calculation 7 6" xfId="1727" xr:uid="{00000000-0005-0000-0000-00008E150000}"/>
    <cellStyle name="Calculation 7 6 2" xfId="3590" xr:uid="{00000000-0005-0000-0000-00008F150000}"/>
    <cellStyle name="Calculation 7 6 2 2" xfId="7652" xr:uid="{00000000-0005-0000-0000-000090150000}"/>
    <cellStyle name="Calculation 7 6 2 2 2" xfId="23568" xr:uid="{00000000-0005-0000-0000-000091150000}"/>
    <cellStyle name="Calculation 7 6 2 3" xfId="13926" xr:uid="{00000000-0005-0000-0000-000092150000}"/>
    <cellStyle name="Calculation 7 6 2 3 2" xfId="28758" xr:uid="{00000000-0005-0000-0000-000093150000}"/>
    <cellStyle name="Calculation 7 6 2 4" xfId="21237" xr:uid="{00000000-0005-0000-0000-000094150000}"/>
    <cellStyle name="Calculation 7 6 3" xfId="4720" xr:uid="{00000000-0005-0000-0000-000095150000}"/>
    <cellStyle name="Calculation 7 6 3 2" xfId="8759" xr:uid="{00000000-0005-0000-0000-000096150000}"/>
    <cellStyle name="Calculation 7 6 3 2 2" xfId="24289" xr:uid="{00000000-0005-0000-0000-000097150000}"/>
    <cellStyle name="Calculation 7 6 3 3" xfId="15044" xr:uid="{00000000-0005-0000-0000-000098150000}"/>
    <cellStyle name="Calculation 7 6 3 3 2" xfId="29876" xr:uid="{00000000-0005-0000-0000-000099150000}"/>
    <cellStyle name="Calculation 7 6 3 4" xfId="21827" xr:uid="{00000000-0005-0000-0000-00009A150000}"/>
    <cellStyle name="Calculation 7 6 4" xfId="2710" xr:uid="{00000000-0005-0000-0000-00009B150000}"/>
    <cellStyle name="Calculation 7 6 4 2" xfId="6801" xr:uid="{00000000-0005-0000-0000-00009C150000}"/>
    <cellStyle name="Calculation 7 6 4 2 2" xfId="23040" xr:uid="{00000000-0005-0000-0000-00009D150000}"/>
    <cellStyle name="Calculation 7 6 4 3" xfId="13048" xr:uid="{00000000-0005-0000-0000-00009E150000}"/>
    <cellStyle name="Calculation 7 6 4 3 2" xfId="27880" xr:uid="{00000000-0005-0000-0000-00009F150000}"/>
    <cellStyle name="Calculation 7 6 4 4" xfId="20700" xr:uid="{00000000-0005-0000-0000-0000A0150000}"/>
    <cellStyle name="Calculation 7 6 5" xfId="5859" xr:uid="{00000000-0005-0000-0000-0000A1150000}"/>
    <cellStyle name="Calculation 7 6 5 2" xfId="16051" xr:uid="{00000000-0005-0000-0000-0000A2150000}"/>
    <cellStyle name="Calculation 7 6 5 2 2" xfId="30883" xr:uid="{00000000-0005-0000-0000-0000A3150000}"/>
    <cellStyle name="Calculation 7 6 5 3" xfId="22456" xr:uid="{00000000-0005-0000-0000-0000A4150000}"/>
    <cellStyle name="Calculation 7 6 6" xfId="12121" xr:uid="{00000000-0005-0000-0000-0000A5150000}"/>
    <cellStyle name="Calculation 7 6 6 2" xfId="26953" xr:uid="{00000000-0005-0000-0000-0000A6150000}"/>
    <cellStyle name="Calculation 7 6 7" xfId="9732" xr:uid="{00000000-0005-0000-0000-0000A7150000}"/>
    <cellStyle name="Calculation 7 6 7 2" xfId="20030" xr:uid="{00000000-0005-0000-0000-0000A8150000}"/>
    <cellStyle name="Calculation 7 7" xfId="2224" xr:uid="{00000000-0005-0000-0000-0000A9150000}"/>
    <cellStyle name="Calculation 7 7 2" xfId="3578" xr:uid="{00000000-0005-0000-0000-0000AA150000}"/>
    <cellStyle name="Calculation 7 7 2 2" xfId="7640" xr:uid="{00000000-0005-0000-0000-0000AB150000}"/>
    <cellStyle name="Calculation 7 7 2 2 2" xfId="23562" xr:uid="{00000000-0005-0000-0000-0000AC150000}"/>
    <cellStyle name="Calculation 7 7 2 3" xfId="13914" xr:uid="{00000000-0005-0000-0000-0000AD150000}"/>
    <cellStyle name="Calculation 7 7 2 3 2" xfId="28746" xr:uid="{00000000-0005-0000-0000-0000AE150000}"/>
    <cellStyle name="Calculation 7 7 2 4" xfId="21231" xr:uid="{00000000-0005-0000-0000-0000AF150000}"/>
    <cellStyle name="Calculation 7 7 3" xfId="5192" xr:uid="{00000000-0005-0000-0000-0000B0150000}"/>
    <cellStyle name="Calculation 7 7 3 2" xfId="9231" xr:uid="{00000000-0005-0000-0000-0000B1150000}"/>
    <cellStyle name="Calculation 7 7 3 2 2" xfId="24569" xr:uid="{00000000-0005-0000-0000-0000B2150000}"/>
    <cellStyle name="Calculation 7 7 3 3" xfId="15510" xr:uid="{00000000-0005-0000-0000-0000B3150000}"/>
    <cellStyle name="Calculation 7 7 3 3 2" xfId="30342" xr:uid="{00000000-0005-0000-0000-0000B4150000}"/>
    <cellStyle name="Calculation 7 7 3 4" xfId="22076" xr:uid="{00000000-0005-0000-0000-0000B5150000}"/>
    <cellStyle name="Calculation 7 7 4" xfId="4222" xr:uid="{00000000-0005-0000-0000-0000B6150000}"/>
    <cellStyle name="Calculation 7 7 4 2" xfId="8263" xr:uid="{00000000-0005-0000-0000-0000B7150000}"/>
    <cellStyle name="Calculation 7 7 4 2 2" xfId="23958" xr:uid="{00000000-0005-0000-0000-0000B8150000}"/>
    <cellStyle name="Calculation 7 7 4 3" xfId="14554" xr:uid="{00000000-0005-0000-0000-0000B9150000}"/>
    <cellStyle name="Calculation 7 7 4 3 2" xfId="29386" xr:uid="{00000000-0005-0000-0000-0000BA150000}"/>
    <cellStyle name="Calculation 7 7 4 4" xfId="21583" xr:uid="{00000000-0005-0000-0000-0000BB150000}"/>
    <cellStyle name="Calculation 7 7 5" xfId="6338" xr:uid="{00000000-0005-0000-0000-0000BC150000}"/>
    <cellStyle name="Calculation 7 7 5 2" xfId="22740" xr:uid="{00000000-0005-0000-0000-0000BD150000}"/>
    <cellStyle name="Calculation 7 7 6" xfId="12592" xr:uid="{00000000-0005-0000-0000-0000BE150000}"/>
    <cellStyle name="Calculation 7 7 6 2" xfId="27424" xr:uid="{00000000-0005-0000-0000-0000BF150000}"/>
    <cellStyle name="Calculation 7 7 7" xfId="20419" xr:uid="{00000000-0005-0000-0000-0000C0150000}"/>
    <cellStyle name="Calculation 7 8" xfId="4129" xr:uid="{00000000-0005-0000-0000-0000C1150000}"/>
    <cellStyle name="Calculation 7 8 2" xfId="8173" xr:uid="{00000000-0005-0000-0000-0000C2150000}"/>
    <cellStyle name="Calculation 7 8 2 2" xfId="23907" xr:uid="{00000000-0005-0000-0000-0000C3150000}"/>
    <cellStyle name="Calculation 7 8 3" xfId="14461" xr:uid="{00000000-0005-0000-0000-0000C4150000}"/>
    <cellStyle name="Calculation 7 8 3 2" xfId="29293" xr:uid="{00000000-0005-0000-0000-0000C5150000}"/>
    <cellStyle name="Calculation 7 8 4" xfId="21534" xr:uid="{00000000-0005-0000-0000-0000C6150000}"/>
    <cellStyle name="Calculation 7 9" xfId="3307" xr:uid="{00000000-0005-0000-0000-0000C7150000}"/>
    <cellStyle name="Calculation 7 9 2" xfId="7371" xr:uid="{00000000-0005-0000-0000-0000C8150000}"/>
    <cellStyle name="Calculation 7 9 2 2" xfId="23390" xr:uid="{00000000-0005-0000-0000-0000C9150000}"/>
    <cellStyle name="Calculation 7 9 3" xfId="13644" xr:uid="{00000000-0005-0000-0000-0000CA150000}"/>
    <cellStyle name="Calculation 7 9 3 2" xfId="28476" xr:uid="{00000000-0005-0000-0000-0000CB150000}"/>
    <cellStyle name="Calculation 7 9 4" xfId="21077" xr:uid="{00000000-0005-0000-0000-0000CC150000}"/>
    <cellStyle name="Calculation 8" xfId="975" xr:uid="{00000000-0005-0000-0000-0000CD150000}"/>
    <cellStyle name="Calculation 8 10" xfId="2281" xr:uid="{00000000-0005-0000-0000-0000CE150000}"/>
    <cellStyle name="Calculation 8 10 2" xfId="6393" xr:uid="{00000000-0005-0000-0000-0000CF150000}"/>
    <cellStyle name="Calculation 8 10 2 2" xfId="22795" xr:uid="{00000000-0005-0000-0000-0000D0150000}"/>
    <cellStyle name="Calculation 8 10 3" xfId="12621" xr:uid="{00000000-0005-0000-0000-0000D1150000}"/>
    <cellStyle name="Calculation 8 10 3 2" xfId="27453" xr:uid="{00000000-0005-0000-0000-0000D2150000}"/>
    <cellStyle name="Calculation 8 10 4" xfId="20447" xr:uid="{00000000-0005-0000-0000-0000D3150000}"/>
    <cellStyle name="Calculation 8 11" xfId="5247" xr:uid="{00000000-0005-0000-0000-0000D4150000}"/>
    <cellStyle name="Calculation 8 11 2" xfId="15563" xr:uid="{00000000-0005-0000-0000-0000D5150000}"/>
    <cellStyle name="Calculation 8 11 2 2" xfId="30395" xr:uid="{00000000-0005-0000-0000-0000D6150000}"/>
    <cellStyle name="Calculation 8 11 3" xfId="22104" xr:uid="{00000000-0005-0000-0000-0000D7150000}"/>
    <cellStyle name="Calculation 8 12" xfId="5405" xr:uid="{00000000-0005-0000-0000-0000D8150000}"/>
    <cellStyle name="Calculation 8 12 2" xfId="15641" xr:uid="{00000000-0005-0000-0000-0000D9150000}"/>
    <cellStyle name="Calculation 8 12 2 2" xfId="30473" xr:uid="{00000000-0005-0000-0000-0000DA150000}"/>
    <cellStyle name="Calculation 8 12 3" xfId="22166" xr:uid="{00000000-0005-0000-0000-0000DB150000}"/>
    <cellStyle name="Calculation 8 13" xfId="9386" xr:uid="{00000000-0005-0000-0000-0000DC150000}"/>
    <cellStyle name="Calculation 8 13 2" xfId="24692" xr:uid="{00000000-0005-0000-0000-0000DD150000}"/>
    <cellStyle name="Calculation 8 14" xfId="6180" xr:uid="{00000000-0005-0000-0000-0000DE150000}"/>
    <cellStyle name="Calculation 8 14 2" xfId="18510" xr:uid="{00000000-0005-0000-0000-0000DF150000}"/>
    <cellStyle name="Calculation 8 2" xfId="1317" xr:uid="{00000000-0005-0000-0000-0000E0150000}"/>
    <cellStyle name="Calculation 8 2 2" xfId="1821" xr:uid="{00000000-0005-0000-0000-0000E1150000}"/>
    <cellStyle name="Calculation 8 2 2 2" xfId="3963" xr:uid="{00000000-0005-0000-0000-0000E2150000}"/>
    <cellStyle name="Calculation 8 2 2 2 2" xfId="8013" xr:uid="{00000000-0005-0000-0000-0000E3150000}"/>
    <cellStyle name="Calculation 8 2 2 2 2 2" xfId="23806" xr:uid="{00000000-0005-0000-0000-0000E4150000}"/>
    <cellStyle name="Calculation 8 2 2 2 3" xfId="14296" xr:uid="{00000000-0005-0000-0000-0000E5150000}"/>
    <cellStyle name="Calculation 8 2 2 2 3 2" xfId="29128" xr:uid="{00000000-0005-0000-0000-0000E6150000}"/>
    <cellStyle name="Calculation 8 2 2 2 4" xfId="21448" xr:uid="{00000000-0005-0000-0000-0000E7150000}"/>
    <cellStyle name="Calculation 8 2 2 3" xfId="4799" xr:uid="{00000000-0005-0000-0000-0000E8150000}"/>
    <cellStyle name="Calculation 8 2 2 3 2" xfId="8838" xr:uid="{00000000-0005-0000-0000-0000E9150000}"/>
    <cellStyle name="Calculation 8 2 2 3 2 2" xfId="24336" xr:uid="{00000000-0005-0000-0000-0000EA150000}"/>
    <cellStyle name="Calculation 8 2 2 3 3" xfId="15123" xr:uid="{00000000-0005-0000-0000-0000EB150000}"/>
    <cellStyle name="Calculation 8 2 2 3 3 2" xfId="29955" xr:uid="{00000000-0005-0000-0000-0000EC150000}"/>
    <cellStyle name="Calculation 8 2 2 3 4" xfId="21874" xr:uid="{00000000-0005-0000-0000-0000ED150000}"/>
    <cellStyle name="Calculation 8 2 2 4" xfId="2789" xr:uid="{00000000-0005-0000-0000-0000EE150000}"/>
    <cellStyle name="Calculation 8 2 2 4 2" xfId="6880" xr:uid="{00000000-0005-0000-0000-0000EF150000}"/>
    <cellStyle name="Calculation 8 2 2 4 2 2" xfId="23087" xr:uid="{00000000-0005-0000-0000-0000F0150000}"/>
    <cellStyle name="Calculation 8 2 2 4 3" xfId="13127" xr:uid="{00000000-0005-0000-0000-0000F1150000}"/>
    <cellStyle name="Calculation 8 2 2 4 3 2" xfId="27959" xr:uid="{00000000-0005-0000-0000-0000F2150000}"/>
    <cellStyle name="Calculation 8 2 2 4 4" xfId="20747" xr:uid="{00000000-0005-0000-0000-0000F3150000}"/>
    <cellStyle name="Calculation 8 2 2 5" xfId="5953" xr:uid="{00000000-0005-0000-0000-0000F4150000}"/>
    <cellStyle name="Calculation 8 2 2 5 2" xfId="16145" xr:uid="{00000000-0005-0000-0000-0000F5150000}"/>
    <cellStyle name="Calculation 8 2 2 5 2 2" xfId="30977" xr:uid="{00000000-0005-0000-0000-0000F6150000}"/>
    <cellStyle name="Calculation 8 2 2 5 3" xfId="22518" xr:uid="{00000000-0005-0000-0000-0000F7150000}"/>
    <cellStyle name="Calculation 8 2 2 6" xfId="12215" xr:uid="{00000000-0005-0000-0000-0000F8150000}"/>
    <cellStyle name="Calculation 8 2 2 6 2" xfId="27047" xr:uid="{00000000-0005-0000-0000-0000F9150000}"/>
    <cellStyle name="Calculation 8 2 2 7" xfId="9811" xr:uid="{00000000-0005-0000-0000-0000FA150000}"/>
    <cellStyle name="Calculation 8 2 2 7 2" xfId="20062" xr:uid="{00000000-0005-0000-0000-0000FB150000}"/>
    <cellStyle name="Calculation 8 2 3" xfId="4091" xr:uid="{00000000-0005-0000-0000-0000FC150000}"/>
    <cellStyle name="Calculation 8 2 3 2" xfId="8137" xr:uid="{00000000-0005-0000-0000-0000FD150000}"/>
    <cellStyle name="Calculation 8 2 3 2 2" xfId="23885" xr:uid="{00000000-0005-0000-0000-0000FE150000}"/>
    <cellStyle name="Calculation 8 2 3 3" xfId="14423" xr:uid="{00000000-0005-0000-0000-0000FF150000}"/>
    <cellStyle name="Calculation 8 2 3 3 2" xfId="29255" xr:uid="{00000000-0005-0000-0000-000000160000}"/>
    <cellStyle name="Calculation 8 2 3 4" xfId="21515" xr:uid="{00000000-0005-0000-0000-000001160000}"/>
    <cellStyle name="Calculation 8 2 4" xfId="4379" xr:uid="{00000000-0005-0000-0000-000002160000}"/>
    <cellStyle name="Calculation 8 2 4 2" xfId="8418" xr:uid="{00000000-0005-0000-0000-000003160000}"/>
    <cellStyle name="Calculation 8 2 4 2 2" xfId="24076" xr:uid="{00000000-0005-0000-0000-000004160000}"/>
    <cellStyle name="Calculation 8 2 4 3" xfId="14708" xr:uid="{00000000-0005-0000-0000-000005160000}"/>
    <cellStyle name="Calculation 8 2 4 3 2" xfId="29540" xr:uid="{00000000-0005-0000-0000-000006160000}"/>
    <cellStyle name="Calculation 8 2 4 4" xfId="21644" xr:uid="{00000000-0005-0000-0000-000007160000}"/>
    <cellStyle name="Calculation 8 2 5" xfId="2369" xr:uid="{00000000-0005-0000-0000-000008160000}"/>
    <cellStyle name="Calculation 8 2 5 2" xfId="6481" xr:uid="{00000000-0005-0000-0000-000009160000}"/>
    <cellStyle name="Calculation 8 2 5 2 2" xfId="22851" xr:uid="{00000000-0005-0000-0000-00000A160000}"/>
    <cellStyle name="Calculation 8 2 5 3" xfId="12708" xr:uid="{00000000-0005-0000-0000-00000B160000}"/>
    <cellStyle name="Calculation 8 2 5 3 2" xfId="27540" xr:uid="{00000000-0005-0000-0000-00000C160000}"/>
    <cellStyle name="Calculation 8 2 5 4" xfId="20493" xr:uid="{00000000-0005-0000-0000-00000D160000}"/>
    <cellStyle name="Calculation 8 2 6" xfId="5494" xr:uid="{00000000-0005-0000-0000-00000E160000}"/>
    <cellStyle name="Calculation 8 2 6 2" xfId="15729" xr:uid="{00000000-0005-0000-0000-00000F160000}"/>
    <cellStyle name="Calculation 8 2 6 2 2" xfId="30561" xr:uid="{00000000-0005-0000-0000-000010160000}"/>
    <cellStyle name="Calculation 8 2 6 3" xfId="22222" xr:uid="{00000000-0005-0000-0000-000011160000}"/>
    <cellStyle name="Calculation 8 2 7" xfId="11744" xr:uid="{00000000-0005-0000-0000-000012160000}"/>
    <cellStyle name="Calculation 8 2 7 2" xfId="26576" xr:uid="{00000000-0005-0000-0000-000013160000}"/>
    <cellStyle name="Calculation 8 2 8" xfId="9415" xr:uid="{00000000-0005-0000-0000-000014160000}"/>
    <cellStyle name="Calculation 8 2 8 2" xfId="19719" xr:uid="{00000000-0005-0000-0000-000015160000}"/>
    <cellStyle name="Calculation 8 3" xfId="1451" xr:uid="{00000000-0005-0000-0000-000016160000}"/>
    <cellStyle name="Calculation 8 3 2" xfId="1952" xr:uid="{00000000-0005-0000-0000-000017160000}"/>
    <cellStyle name="Calculation 8 3 2 2" xfId="3523" xr:uid="{00000000-0005-0000-0000-000018160000}"/>
    <cellStyle name="Calculation 8 3 2 2 2" xfId="7585" xr:uid="{00000000-0005-0000-0000-000019160000}"/>
    <cellStyle name="Calculation 8 3 2 2 2 2" xfId="23533" xr:uid="{00000000-0005-0000-0000-00001A160000}"/>
    <cellStyle name="Calculation 8 3 2 2 3" xfId="13860" xr:uid="{00000000-0005-0000-0000-00001B160000}"/>
    <cellStyle name="Calculation 8 3 2 2 3 2" xfId="28692" xr:uid="{00000000-0005-0000-0000-00001C160000}"/>
    <cellStyle name="Calculation 8 3 2 2 4" xfId="21208" xr:uid="{00000000-0005-0000-0000-00001D160000}"/>
    <cellStyle name="Calculation 8 3 2 3" xfId="4931" xr:uid="{00000000-0005-0000-0000-00001E160000}"/>
    <cellStyle name="Calculation 8 3 2 3 2" xfId="8970" xr:uid="{00000000-0005-0000-0000-00001F160000}"/>
    <cellStyle name="Calculation 8 3 2 3 2 2" xfId="24436" xr:uid="{00000000-0005-0000-0000-000020160000}"/>
    <cellStyle name="Calculation 8 3 2 3 3" xfId="15253" xr:uid="{00000000-0005-0000-0000-000021160000}"/>
    <cellStyle name="Calculation 8 3 2 3 3 2" xfId="30085" xr:uid="{00000000-0005-0000-0000-000022160000}"/>
    <cellStyle name="Calculation 8 3 2 3 4" xfId="21966" xr:uid="{00000000-0005-0000-0000-000023160000}"/>
    <cellStyle name="Calculation 8 3 2 4" xfId="2921" xr:uid="{00000000-0005-0000-0000-000024160000}"/>
    <cellStyle name="Calculation 8 3 2 4 2" xfId="7005" xr:uid="{00000000-0005-0000-0000-000025160000}"/>
    <cellStyle name="Calculation 8 3 2 4 2 2" xfId="23179" xr:uid="{00000000-0005-0000-0000-000026160000}"/>
    <cellStyle name="Calculation 8 3 2 4 3" xfId="13259" xr:uid="{00000000-0005-0000-0000-000027160000}"/>
    <cellStyle name="Calculation 8 3 2 4 3 2" xfId="28091" xr:uid="{00000000-0005-0000-0000-000028160000}"/>
    <cellStyle name="Calculation 8 3 2 4 4" xfId="20847" xr:uid="{00000000-0005-0000-0000-000029160000}"/>
    <cellStyle name="Calculation 8 3 2 5" xfId="6082" xr:uid="{00000000-0005-0000-0000-00002A160000}"/>
    <cellStyle name="Calculation 8 3 2 5 2" xfId="16269" xr:uid="{00000000-0005-0000-0000-00002B160000}"/>
    <cellStyle name="Calculation 8 3 2 5 2 2" xfId="31101" xr:uid="{00000000-0005-0000-0000-00002C160000}"/>
    <cellStyle name="Calculation 8 3 2 5 3" xfId="22615" xr:uid="{00000000-0005-0000-0000-00002D160000}"/>
    <cellStyle name="Calculation 8 3 2 6" xfId="12339" xr:uid="{00000000-0005-0000-0000-00002E160000}"/>
    <cellStyle name="Calculation 8 3 2 6 2" xfId="27171" xr:uid="{00000000-0005-0000-0000-00002F160000}"/>
    <cellStyle name="Calculation 8 3 2 7" xfId="9936" xr:uid="{00000000-0005-0000-0000-000030160000}"/>
    <cellStyle name="Calculation 8 3 2 7 2" xfId="20138" xr:uid="{00000000-0005-0000-0000-000031160000}"/>
    <cellStyle name="Calculation 8 3 3" xfId="3570" xr:uid="{00000000-0005-0000-0000-000032160000}"/>
    <cellStyle name="Calculation 8 3 3 2" xfId="7632" xr:uid="{00000000-0005-0000-0000-000033160000}"/>
    <cellStyle name="Calculation 8 3 3 2 2" xfId="23558" xr:uid="{00000000-0005-0000-0000-000034160000}"/>
    <cellStyle name="Calculation 8 3 3 3" xfId="13906" xr:uid="{00000000-0005-0000-0000-000035160000}"/>
    <cellStyle name="Calculation 8 3 3 3 2" xfId="28738" xr:uid="{00000000-0005-0000-0000-000036160000}"/>
    <cellStyle name="Calculation 8 3 3 4" xfId="21228" xr:uid="{00000000-0005-0000-0000-000037160000}"/>
    <cellStyle name="Calculation 8 3 4" xfId="4511" xr:uid="{00000000-0005-0000-0000-000038160000}"/>
    <cellStyle name="Calculation 8 3 4 2" xfId="8550" xr:uid="{00000000-0005-0000-0000-000039160000}"/>
    <cellStyle name="Calculation 8 3 4 2 2" xfId="24176" xr:uid="{00000000-0005-0000-0000-00003A160000}"/>
    <cellStyle name="Calculation 8 3 4 3" xfId="14838" xr:uid="{00000000-0005-0000-0000-00003B160000}"/>
    <cellStyle name="Calculation 8 3 4 3 2" xfId="29670" xr:uid="{00000000-0005-0000-0000-00003C160000}"/>
    <cellStyle name="Calculation 8 3 4 4" xfId="21736" xr:uid="{00000000-0005-0000-0000-00003D160000}"/>
    <cellStyle name="Calculation 8 3 5" xfId="2501" xr:uid="{00000000-0005-0000-0000-00003E160000}"/>
    <cellStyle name="Calculation 8 3 5 2" xfId="6607" xr:uid="{00000000-0005-0000-0000-00003F160000}"/>
    <cellStyle name="Calculation 8 3 5 2 2" xfId="22945" xr:uid="{00000000-0005-0000-0000-000040160000}"/>
    <cellStyle name="Calculation 8 3 5 3" xfId="12839" xr:uid="{00000000-0005-0000-0000-000041160000}"/>
    <cellStyle name="Calculation 8 3 5 3 2" xfId="27671" xr:uid="{00000000-0005-0000-0000-000042160000}"/>
    <cellStyle name="Calculation 8 3 5 4" xfId="20591" xr:uid="{00000000-0005-0000-0000-000043160000}"/>
    <cellStyle name="Calculation 8 3 6" xfId="5624" xr:uid="{00000000-0005-0000-0000-000044160000}"/>
    <cellStyle name="Calculation 8 3 6 2" xfId="15859" xr:uid="{00000000-0005-0000-0000-000045160000}"/>
    <cellStyle name="Calculation 8 3 6 2 2" xfId="30691" xr:uid="{00000000-0005-0000-0000-000046160000}"/>
    <cellStyle name="Calculation 8 3 6 3" xfId="22320" xr:uid="{00000000-0005-0000-0000-000047160000}"/>
    <cellStyle name="Calculation 8 3 7" xfId="11868" xr:uid="{00000000-0005-0000-0000-000048160000}"/>
    <cellStyle name="Calculation 8 3 7 2" xfId="26700" xr:uid="{00000000-0005-0000-0000-000049160000}"/>
    <cellStyle name="Calculation 8 3 8" xfId="9541" xr:uid="{00000000-0005-0000-0000-00004A160000}"/>
    <cellStyle name="Calculation 8 3 8 2" xfId="19843" xr:uid="{00000000-0005-0000-0000-00004B160000}"/>
    <cellStyle name="Calculation 8 4" xfId="1406" xr:uid="{00000000-0005-0000-0000-00004C160000}"/>
    <cellStyle name="Calculation 8 4 2" xfId="1908" xr:uid="{00000000-0005-0000-0000-00004D160000}"/>
    <cellStyle name="Calculation 8 4 2 2" xfId="3593" xr:uid="{00000000-0005-0000-0000-00004E160000}"/>
    <cellStyle name="Calculation 8 4 2 2 2" xfId="7655" xr:uid="{00000000-0005-0000-0000-00004F160000}"/>
    <cellStyle name="Calculation 8 4 2 2 2 2" xfId="23571" xr:uid="{00000000-0005-0000-0000-000050160000}"/>
    <cellStyle name="Calculation 8 4 2 2 3" xfId="13929" xr:uid="{00000000-0005-0000-0000-000051160000}"/>
    <cellStyle name="Calculation 8 4 2 2 3 2" xfId="28761" xr:uid="{00000000-0005-0000-0000-000052160000}"/>
    <cellStyle name="Calculation 8 4 2 2 4" xfId="21240" xr:uid="{00000000-0005-0000-0000-000053160000}"/>
    <cellStyle name="Calculation 8 4 2 3" xfId="4886" xr:uid="{00000000-0005-0000-0000-000054160000}"/>
    <cellStyle name="Calculation 8 4 2 3 2" xfId="8925" xr:uid="{00000000-0005-0000-0000-000055160000}"/>
    <cellStyle name="Calculation 8 4 2 3 2 2" xfId="24391" xr:uid="{00000000-0005-0000-0000-000056160000}"/>
    <cellStyle name="Calculation 8 4 2 3 3" xfId="15209" xr:uid="{00000000-0005-0000-0000-000057160000}"/>
    <cellStyle name="Calculation 8 4 2 3 3 2" xfId="30041" xr:uid="{00000000-0005-0000-0000-000058160000}"/>
    <cellStyle name="Calculation 8 4 2 3 4" xfId="21923" xr:uid="{00000000-0005-0000-0000-000059160000}"/>
    <cellStyle name="Calculation 8 4 2 4" xfId="2876" xr:uid="{00000000-0005-0000-0000-00005A160000}"/>
    <cellStyle name="Calculation 8 4 2 4 2" xfId="6961" xr:uid="{00000000-0005-0000-0000-00005B160000}"/>
    <cellStyle name="Calculation 8 4 2 4 2 2" xfId="23136" xr:uid="{00000000-0005-0000-0000-00005C160000}"/>
    <cellStyle name="Calculation 8 4 2 4 3" xfId="13214" xr:uid="{00000000-0005-0000-0000-00005D160000}"/>
    <cellStyle name="Calculation 8 4 2 4 3 2" xfId="28046" xr:uid="{00000000-0005-0000-0000-00005E160000}"/>
    <cellStyle name="Calculation 8 4 2 4 4" xfId="20802" xr:uid="{00000000-0005-0000-0000-00005F160000}"/>
    <cellStyle name="Calculation 8 4 2 5" xfId="6039" xr:uid="{00000000-0005-0000-0000-000060160000}"/>
    <cellStyle name="Calculation 8 4 2 5 2" xfId="16226" xr:uid="{00000000-0005-0000-0000-000061160000}"/>
    <cellStyle name="Calculation 8 4 2 5 2 2" xfId="31058" xr:uid="{00000000-0005-0000-0000-000062160000}"/>
    <cellStyle name="Calculation 8 4 2 5 3" xfId="22572" xr:uid="{00000000-0005-0000-0000-000063160000}"/>
    <cellStyle name="Calculation 8 4 2 6" xfId="12296" xr:uid="{00000000-0005-0000-0000-000064160000}"/>
    <cellStyle name="Calculation 8 4 2 6 2" xfId="27128" xr:uid="{00000000-0005-0000-0000-000065160000}"/>
    <cellStyle name="Calculation 8 4 2 7" xfId="9892" xr:uid="{00000000-0005-0000-0000-000066160000}"/>
    <cellStyle name="Calculation 8 4 2 7 2" xfId="20095" xr:uid="{00000000-0005-0000-0000-000067160000}"/>
    <cellStyle name="Calculation 8 4 3" xfId="3982" xr:uid="{00000000-0005-0000-0000-000068160000}"/>
    <cellStyle name="Calculation 8 4 3 2" xfId="8031" xr:uid="{00000000-0005-0000-0000-000069160000}"/>
    <cellStyle name="Calculation 8 4 3 2 2" xfId="23821" xr:uid="{00000000-0005-0000-0000-00006A160000}"/>
    <cellStyle name="Calculation 8 4 3 3" xfId="14315" xr:uid="{00000000-0005-0000-0000-00006B160000}"/>
    <cellStyle name="Calculation 8 4 3 3 2" xfId="29147" xr:uid="{00000000-0005-0000-0000-00006C160000}"/>
    <cellStyle name="Calculation 8 4 3 4" xfId="21459" xr:uid="{00000000-0005-0000-0000-00006D160000}"/>
    <cellStyle name="Calculation 8 4 4" xfId="4466" xr:uid="{00000000-0005-0000-0000-00006E160000}"/>
    <cellStyle name="Calculation 8 4 4 2" xfId="8505" xr:uid="{00000000-0005-0000-0000-00006F160000}"/>
    <cellStyle name="Calculation 8 4 4 2 2" xfId="24131" xr:uid="{00000000-0005-0000-0000-000070160000}"/>
    <cellStyle name="Calculation 8 4 4 3" xfId="14794" xr:uid="{00000000-0005-0000-0000-000071160000}"/>
    <cellStyle name="Calculation 8 4 4 3 2" xfId="29626" xr:uid="{00000000-0005-0000-0000-000072160000}"/>
    <cellStyle name="Calculation 8 4 4 4" xfId="21693" xr:uid="{00000000-0005-0000-0000-000073160000}"/>
    <cellStyle name="Calculation 8 4 5" xfId="2456" xr:uid="{00000000-0005-0000-0000-000074160000}"/>
    <cellStyle name="Calculation 8 4 5 2" xfId="6562" xr:uid="{00000000-0005-0000-0000-000075160000}"/>
    <cellStyle name="Calculation 8 4 5 2 2" xfId="22900" xr:uid="{00000000-0005-0000-0000-000076160000}"/>
    <cellStyle name="Calculation 8 4 5 3" xfId="12795" xr:uid="{00000000-0005-0000-0000-000077160000}"/>
    <cellStyle name="Calculation 8 4 5 3 2" xfId="27627" xr:uid="{00000000-0005-0000-0000-000078160000}"/>
    <cellStyle name="Calculation 8 4 5 4" xfId="20548" xr:uid="{00000000-0005-0000-0000-000079160000}"/>
    <cellStyle name="Calculation 8 4 6" xfId="5580" xr:uid="{00000000-0005-0000-0000-00007A160000}"/>
    <cellStyle name="Calculation 8 4 6 2" xfId="15815" xr:uid="{00000000-0005-0000-0000-00007B160000}"/>
    <cellStyle name="Calculation 8 4 6 2 2" xfId="30647" xr:uid="{00000000-0005-0000-0000-00007C160000}"/>
    <cellStyle name="Calculation 8 4 6 3" xfId="22276" xr:uid="{00000000-0005-0000-0000-00007D160000}"/>
    <cellStyle name="Calculation 8 4 7" xfId="11825" xr:uid="{00000000-0005-0000-0000-00007E160000}"/>
    <cellStyle name="Calculation 8 4 7 2" xfId="26657" xr:uid="{00000000-0005-0000-0000-00007F160000}"/>
    <cellStyle name="Calculation 8 4 8" xfId="9497" xr:uid="{00000000-0005-0000-0000-000080160000}"/>
    <cellStyle name="Calculation 8 4 8 2" xfId="19800" xr:uid="{00000000-0005-0000-0000-000081160000}"/>
    <cellStyle name="Calculation 8 5" xfId="1436" xr:uid="{00000000-0005-0000-0000-000082160000}"/>
    <cellStyle name="Calculation 8 5 2" xfId="1937" xr:uid="{00000000-0005-0000-0000-000083160000}"/>
    <cellStyle name="Calculation 8 5 2 2" xfId="3680" xr:uid="{00000000-0005-0000-0000-000084160000}"/>
    <cellStyle name="Calculation 8 5 2 2 2" xfId="7738" xr:uid="{00000000-0005-0000-0000-000085160000}"/>
    <cellStyle name="Calculation 8 5 2 2 2 2" xfId="23628" xr:uid="{00000000-0005-0000-0000-000086160000}"/>
    <cellStyle name="Calculation 8 5 2 2 3" xfId="14015" xr:uid="{00000000-0005-0000-0000-000087160000}"/>
    <cellStyle name="Calculation 8 5 2 2 3 2" xfId="28847" xr:uid="{00000000-0005-0000-0000-000088160000}"/>
    <cellStyle name="Calculation 8 5 2 2 4" xfId="21288" xr:uid="{00000000-0005-0000-0000-000089160000}"/>
    <cellStyle name="Calculation 8 5 2 3" xfId="4916" xr:uid="{00000000-0005-0000-0000-00008A160000}"/>
    <cellStyle name="Calculation 8 5 2 3 2" xfId="8955" xr:uid="{00000000-0005-0000-0000-00008B160000}"/>
    <cellStyle name="Calculation 8 5 2 3 2 2" xfId="24421" xr:uid="{00000000-0005-0000-0000-00008C160000}"/>
    <cellStyle name="Calculation 8 5 2 3 3" xfId="15238" xr:uid="{00000000-0005-0000-0000-00008D160000}"/>
    <cellStyle name="Calculation 8 5 2 3 3 2" xfId="30070" xr:uid="{00000000-0005-0000-0000-00008E160000}"/>
    <cellStyle name="Calculation 8 5 2 3 4" xfId="21951" xr:uid="{00000000-0005-0000-0000-00008F160000}"/>
    <cellStyle name="Calculation 8 5 2 4" xfId="2906" xr:uid="{00000000-0005-0000-0000-000090160000}"/>
    <cellStyle name="Calculation 8 5 2 4 2" xfId="6990" xr:uid="{00000000-0005-0000-0000-000091160000}"/>
    <cellStyle name="Calculation 8 5 2 4 2 2" xfId="23164" xr:uid="{00000000-0005-0000-0000-000092160000}"/>
    <cellStyle name="Calculation 8 5 2 4 3" xfId="13244" xr:uid="{00000000-0005-0000-0000-000093160000}"/>
    <cellStyle name="Calculation 8 5 2 4 3 2" xfId="28076" xr:uid="{00000000-0005-0000-0000-000094160000}"/>
    <cellStyle name="Calculation 8 5 2 4 4" xfId="20832" xr:uid="{00000000-0005-0000-0000-000095160000}"/>
    <cellStyle name="Calculation 8 5 2 5" xfId="6067" xr:uid="{00000000-0005-0000-0000-000096160000}"/>
    <cellStyle name="Calculation 8 5 2 5 2" xfId="16254" xr:uid="{00000000-0005-0000-0000-000097160000}"/>
    <cellStyle name="Calculation 8 5 2 5 2 2" xfId="31086" xr:uid="{00000000-0005-0000-0000-000098160000}"/>
    <cellStyle name="Calculation 8 5 2 5 3" xfId="22600" xr:uid="{00000000-0005-0000-0000-000099160000}"/>
    <cellStyle name="Calculation 8 5 2 6" xfId="12324" xr:uid="{00000000-0005-0000-0000-00009A160000}"/>
    <cellStyle name="Calculation 8 5 2 6 2" xfId="27156" xr:uid="{00000000-0005-0000-0000-00009B160000}"/>
    <cellStyle name="Calculation 8 5 2 7" xfId="9921" xr:uid="{00000000-0005-0000-0000-00009C160000}"/>
    <cellStyle name="Calculation 8 5 2 7 2" xfId="20123" xr:uid="{00000000-0005-0000-0000-00009D160000}"/>
    <cellStyle name="Calculation 8 5 3" xfId="3753" xr:uid="{00000000-0005-0000-0000-00009E160000}"/>
    <cellStyle name="Calculation 8 5 3 2" xfId="7809" xr:uid="{00000000-0005-0000-0000-00009F160000}"/>
    <cellStyle name="Calculation 8 5 3 2 2" xfId="23678" xr:uid="{00000000-0005-0000-0000-0000A0160000}"/>
    <cellStyle name="Calculation 8 5 3 3" xfId="14088" xr:uid="{00000000-0005-0000-0000-0000A1160000}"/>
    <cellStyle name="Calculation 8 5 3 3 2" xfId="28920" xr:uid="{00000000-0005-0000-0000-0000A2160000}"/>
    <cellStyle name="Calculation 8 5 3 4" xfId="21334" xr:uid="{00000000-0005-0000-0000-0000A3160000}"/>
    <cellStyle name="Calculation 8 5 4" xfId="4496" xr:uid="{00000000-0005-0000-0000-0000A4160000}"/>
    <cellStyle name="Calculation 8 5 4 2" xfId="8535" xr:uid="{00000000-0005-0000-0000-0000A5160000}"/>
    <cellStyle name="Calculation 8 5 4 2 2" xfId="24161" xr:uid="{00000000-0005-0000-0000-0000A6160000}"/>
    <cellStyle name="Calculation 8 5 4 3" xfId="14823" xr:uid="{00000000-0005-0000-0000-0000A7160000}"/>
    <cellStyle name="Calculation 8 5 4 3 2" xfId="29655" xr:uid="{00000000-0005-0000-0000-0000A8160000}"/>
    <cellStyle name="Calculation 8 5 4 4" xfId="21721" xr:uid="{00000000-0005-0000-0000-0000A9160000}"/>
    <cellStyle name="Calculation 8 5 5" xfId="2486" xr:uid="{00000000-0005-0000-0000-0000AA160000}"/>
    <cellStyle name="Calculation 8 5 5 2" xfId="6592" xr:uid="{00000000-0005-0000-0000-0000AB160000}"/>
    <cellStyle name="Calculation 8 5 5 2 2" xfId="22930" xr:uid="{00000000-0005-0000-0000-0000AC160000}"/>
    <cellStyle name="Calculation 8 5 5 3" xfId="12824" xr:uid="{00000000-0005-0000-0000-0000AD160000}"/>
    <cellStyle name="Calculation 8 5 5 3 2" xfId="27656" xr:uid="{00000000-0005-0000-0000-0000AE160000}"/>
    <cellStyle name="Calculation 8 5 5 4" xfId="20576" xr:uid="{00000000-0005-0000-0000-0000AF160000}"/>
    <cellStyle name="Calculation 8 5 6" xfId="5609" xr:uid="{00000000-0005-0000-0000-0000B0160000}"/>
    <cellStyle name="Calculation 8 5 6 2" xfId="15844" xr:uid="{00000000-0005-0000-0000-0000B1160000}"/>
    <cellStyle name="Calculation 8 5 6 2 2" xfId="30676" xr:uid="{00000000-0005-0000-0000-0000B2160000}"/>
    <cellStyle name="Calculation 8 5 6 3" xfId="22305" xr:uid="{00000000-0005-0000-0000-0000B3160000}"/>
    <cellStyle name="Calculation 8 5 7" xfId="11853" xr:uid="{00000000-0005-0000-0000-0000B4160000}"/>
    <cellStyle name="Calculation 8 5 7 2" xfId="26685" xr:uid="{00000000-0005-0000-0000-0000B5160000}"/>
    <cellStyle name="Calculation 8 5 8" xfId="9526" xr:uid="{00000000-0005-0000-0000-0000B6160000}"/>
    <cellStyle name="Calculation 8 5 8 2" xfId="19828" xr:uid="{00000000-0005-0000-0000-0000B7160000}"/>
    <cellStyle name="Calculation 8 6" xfId="1728" xr:uid="{00000000-0005-0000-0000-0000B8160000}"/>
    <cellStyle name="Calculation 8 6 2" xfId="3508" xr:uid="{00000000-0005-0000-0000-0000B9160000}"/>
    <cellStyle name="Calculation 8 6 2 2" xfId="7570" xr:uid="{00000000-0005-0000-0000-0000BA160000}"/>
    <cellStyle name="Calculation 8 6 2 2 2" xfId="23522" xr:uid="{00000000-0005-0000-0000-0000BB160000}"/>
    <cellStyle name="Calculation 8 6 2 3" xfId="13845" xr:uid="{00000000-0005-0000-0000-0000BC160000}"/>
    <cellStyle name="Calculation 8 6 2 3 2" xfId="28677" xr:uid="{00000000-0005-0000-0000-0000BD160000}"/>
    <cellStyle name="Calculation 8 6 2 4" xfId="21197" xr:uid="{00000000-0005-0000-0000-0000BE160000}"/>
    <cellStyle name="Calculation 8 6 3" xfId="4721" xr:uid="{00000000-0005-0000-0000-0000BF160000}"/>
    <cellStyle name="Calculation 8 6 3 2" xfId="8760" xr:uid="{00000000-0005-0000-0000-0000C0160000}"/>
    <cellStyle name="Calculation 8 6 3 2 2" xfId="24290" xr:uid="{00000000-0005-0000-0000-0000C1160000}"/>
    <cellStyle name="Calculation 8 6 3 3" xfId="15045" xr:uid="{00000000-0005-0000-0000-0000C2160000}"/>
    <cellStyle name="Calculation 8 6 3 3 2" xfId="29877" xr:uid="{00000000-0005-0000-0000-0000C3160000}"/>
    <cellStyle name="Calculation 8 6 3 4" xfId="21828" xr:uid="{00000000-0005-0000-0000-0000C4160000}"/>
    <cellStyle name="Calculation 8 6 4" xfId="2711" xr:uid="{00000000-0005-0000-0000-0000C5160000}"/>
    <cellStyle name="Calculation 8 6 4 2" xfId="6802" xr:uid="{00000000-0005-0000-0000-0000C6160000}"/>
    <cellStyle name="Calculation 8 6 4 2 2" xfId="23041" xr:uid="{00000000-0005-0000-0000-0000C7160000}"/>
    <cellStyle name="Calculation 8 6 4 3" xfId="13049" xr:uid="{00000000-0005-0000-0000-0000C8160000}"/>
    <cellStyle name="Calculation 8 6 4 3 2" xfId="27881" xr:uid="{00000000-0005-0000-0000-0000C9160000}"/>
    <cellStyle name="Calculation 8 6 4 4" xfId="20701" xr:uid="{00000000-0005-0000-0000-0000CA160000}"/>
    <cellStyle name="Calculation 8 6 5" xfId="5860" xr:uid="{00000000-0005-0000-0000-0000CB160000}"/>
    <cellStyle name="Calculation 8 6 5 2" xfId="16052" xr:uid="{00000000-0005-0000-0000-0000CC160000}"/>
    <cellStyle name="Calculation 8 6 5 2 2" xfId="30884" xr:uid="{00000000-0005-0000-0000-0000CD160000}"/>
    <cellStyle name="Calculation 8 6 5 3" xfId="22457" xr:uid="{00000000-0005-0000-0000-0000CE160000}"/>
    <cellStyle name="Calculation 8 6 6" xfId="12122" xr:uid="{00000000-0005-0000-0000-0000CF160000}"/>
    <cellStyle name="Calculation 8 6 6 2" xfId="26954" xr:uid="{00000000-0005-0000-0000-0000D0160000}"/>
    <cellStyle name="Calculation 8 6 7" xfId="9733" xr:uid="{00000000-0005-0000-0000-0000D1160000}"/>
    <cellStyle name="Calculation 8 6 7 2" xfId="20031" xr:uid="{00000000-0005-0000-0000-0000D2160000}"/>
    <cellStyle name="Calculation 8 7" xfId="2223" xr:uid="{00000000-0005-0000-0000-0000D3160000}"/>
    <cellStyle name="Calculation 8 7 2" xfId="3476" xr:uid="{00000000-0005-0000-0000-0000D4160000}"/>
    <cellStyle name="Calculation 8 7 2 2" xfId="7538" xr:uid="{00000000-0005-0000-0000-0000D5160000}"/>
    <cellStyle name="Calculation 8 7 2 2 2" xfId="23504" xr:uid="{00000000-0005-0000-0000-0000D6160000}"/>
    <cellStyle name="Calculation 8 7 2 3" xfId="13813" xr:uid="{00000000-0005-0000-0000-0000D7160000}"/>
    <cellStyle name="Calculation 8 7 2 3 2" xfId="28645" xr:uid="{00000000-0005-0000-0000-0000D8160000}"/>
    <cellStyle name="Calculation 8 7 2 4" xfId="21180" xr:uid="{00000000-0005-0000-0000-0000D9160000}"/>
    <cellStyle name="Calculation 8 7 3" xfId="5191" xr:uid="{00000000-0005-0000-0000-0000DA160000}"/>
    <cellStyle name="Calculation 8 7 3 2" xfId="9230" xr:uid="{00000000-0005-0000-0000-0000DB160000}"/>
    <cellStyle name="Calculation 8 7 3 2 2" xfId="24568" xr:uid="{00000000-0005-0000-0000-0000DC160000}"/>
    <cellStyle name="Calculation 8 7 3 3" xfId="15509" xr:uid="{00000000-0005-0000-0000-0000DD160000}"/>
    <cellStyle name="Calculation 8 7 3 3 2" xfId="30341" xr:uid="{00000000-0005-0000-0000-0000DE160000}"/>
    <cellStyle name="Calculation 8 7 3 4" xfId="22075" xr:uid="{00000000-0005-0000-0000-0000DF160000}"/>
    <cellStyle name="Calculation 8 7 4" xfId="4221" xr:uid="{00000000-0005-0000-0000-0000E0160000}"/>
    <cellStyle name="Calculation 8 7 4 2" xfId="8262" xr:uid="{00000000-0005-0000-0000-0000E1160000}"/>
    <cellStyle name="Calculation 8 7 4 2 2" xfId="23957" xr:uid="{00000000-0005-0000-0000-0000E2160000}"/>
    <cellStyle name="Calculation 8 7 4 3" xfId="14553" xr:uid="{00000000-0005-0000-0000-0000E3160000}"/>
    <cellStyle name="Calculation 8 7 4 3 2" xfId="29385" xr:uid="{00000000-0005-0000-0000-0000E4160000}"/>
    <cellStyle name="Calculation 8 7 4 4" xfId="21582" xr:uid="{00000000-0005-0000-0000-0000E5160000}"/>
    <cellStyle name="Calculation 8 7 5" xfId="6337" xr:uid="{00000000-0005-0000-0000-0000E6160000}"/>
    <cellStyle name="Calculation 8 7 5 2" xfId="22739" xr:uid="{00000000-0005-0000-0000-0000E7160000}"/>
    <cellStyle name="Calculation 8 7 6" xfId="12591" xr:uid="{00000000-0005-0000-0000-0000E8160000}"/>
    <cellStyle name="Calculation 8 7 6 2" xfId="27423" xr:uid="{00000000-0005-0000-0000-0000E9160000}"/>
    <cellStyle name="Calculation 8 7 7" xfId="20418" xr:uid="{00000000-0005-0000-0000-0000EA160000}"/>
    <cellStyle name="Calculation 8 8" xfId="3465" xr:uid="{00000000-0005-0000-0000-0000EB160000}"/>
    <cellStyle name="Calculation 8 8 2" xfId="7528" xr:uid="{00000000-0005-0000-0000-0000EC160000}"/>
    <cellStyle name="Calculation 8 8 2 2" xfId="23495" xr:uid="{00000000-0005-0000-0000-0000ED160000}"/>
    <cellStyle name="Calculation 8 8 3" xfId="13802" xr:uid="{00000000-0005-0000-0000-0000EE160000}"/>
    <cellStyle name="Calculation 8 8 3 2" xfId="28634" xr:uid="{00000000-0005-0000-0000-0000EF160000}"/>
    <cellStyle name="Calculation 8 8 4" xfId="21170" xr:uid="{00000000-0005-0000-0000-0000F0160000}"/>
    <cellStyle name="Calculation 8 9" xfId="3184" xr:uid="{00000000-0005-0000-0000-0000F1160000}"/>
    <cellStyle name="Calculation 8 9 2" xfId="7248" xr:uid="{00000000-0005-0000-0000-0000F2160000}"/>
    <cellStyle name="Calculation 8 9 2 2" xfId="23306" xr:uid="{00000000-0005-0000-0000-0000F3160000}"/>
    <cellStyle name="Calculation 8 9 3" xfId="13522" xr:uid="{00000000-0005-0000-0000-0000F4160000}"/>
    <cellStyle name="Calculation 8 9 3 2" xfId="28354" xr:uid="{00000000-0005-0000-0000-0000F5160000}"/>
    <cellStyle name="Calculation 8 9 4" xfId="20996" xr:uid="{00000000-0005-0000-0000-0000F6160000}"/>
    <cellStyle name="Calculation 9" xfId="961" xr:uid="{00000000-0005-0000-0000-0000F7160000}"/>
    <cellStyle name="Calculation 9 10" xfId="2267" xr:uid="{00000000-0005-0000-0000-0000F8160000}"/>
    <cellStyle name="Calculation 9 10 2" xfId="6379" xr:uid="{00000000-0005-0000-0000-0000F9160000}"/>
    <cellStyle name="Calculation 9 10 2 2" xfId="22781" xr:uid="{00000000-0005-0000-0000-0000FA160000}"/>
    <cellStyle name="Calculation 9 10 3" xfId="12607" xr:uid="{00000000-0005-0000-0000-0000FB160000}"/>
    <cellStyle name="Calculation 9 10 3 2" xfId="27439" xr:uid="{00000000-0005-0000-0000-0000FC160000}"/>
    <cellStyle name="Calculation 9 10 4" xfId="20433" xr:uid="{00000000-0005-0000-0000-0000FD160000}"/>
    <cellStyle name="Calculation 9 11" xfId="5233" xr:uid="{00000000-0005-0000-0000-0000FE160000}"/>
    <cellStyle name="Calculation 9 11 2" xfId="15549" xr:uid="{00000000-0005-0000-0000-0000FF160000}"/>
    <cellStyle name="Calculation 9 11 2 2" xfId="30381" xr:uid="{00000000-0005-0000-0000-000000170000}"/>
    <cellStyle name="Calculation 9 11 3" xfId="22090" xr:uid="{00000000-0005-0000-0000-000001170000}"/>
    <cellStyle name="Calculation 9 12" xfId="5391" xr:uid="{00000000-0005-0000-0000-000002170000}"/>
    <cellStyle name="Calculation 9 12 2" xfId="15627" xr:uid="{00000000-0005-0000-0000-000003170000}"/>
    <cellStyle name="Calculation 9 12 2 2" xfId="30459" xr:uid="{00000000-0005-0000-0000-000004170000}"/>
    <cellStyle name="Calculation 9 12 3" xfId="22152" xr:uid="{00000000-0005-0000-0000-000005170000}"/>
    <cellStyle name="Calculation 9 13" xfId="9400" xr:uid="{00000000-0005-0000-0000-000006170000}"/>
    <cellStyle name="Calculation 9 13 2" xfId="24706" xr:uid="{00000000-0005-0000-0000-000007170000}"/>
    <cellStyle name="Calculation 9 14" xfId="6975" xr:uid="{00000000-0005-0000-0000-000008170000}"/>
    <cellStyle name="Calculation 9 14 2" xfId="18836" xr:uid="{00000000-0005-0000-0000-000009170000}"/>
    <cellStyle name="Calculation 9 2" xfId="1303" xr:uid="{00000000-0005-0000-0000-00000A170000}"/>
    <cellStyle name="Calculation 9 2 2" xfId="1807" xr:uid="{00000000-0005-0000-0000-00000B170000}"/>
    <cellStyle name="Calculation 9 2 2 2" xfId="3514" xr:uid="{00000000-0005-0000-0000-00000C170000}"/>
    <cellStyle name="Calculation 9 2 2 2 2" xfId="7576" xr:uid="{00000000-0005-0000-0000-00000D170000}"/>
    <cellStyle name="Calculation 9 2 2 2 2 2" xfId="23526" xr:uid="{00000000-0005-0000-0000-00000E170000}"/>
    <cellStyle name="Calculation 9 2 2 2 3" xfId="13851" xr:uid="{00000000-0005-0000-0000-00000F170000}"/>
    <cellStyle name="Calculation 9 2 2 2 3 2" xfId="28683" xr:uid="{00000000-0005-0000-0000-000010170000}"/>
    <cellStyle name="Calculation 9 2 2 2 4" xfId="21201" xr:uid="{00000000-0005-0000-0000-000011170000}"/>
    <cellStyle name="Calculation 9 2 2 3" xfId="4785" xr:uid="{00000000-0005-0000-0000-000012170000}"/>
    <cellStyle name="Calculation 9 2 2 3 2" xfId="8824" xr:uid="{00000000-0005-0000-0000-000013170000}"/>
    <cellStyle name="Calculation 9 2 2 3 2 2" xfId="24322" xr:uid="{00000000-0005-0000-0000-000014170000}"/>
    <cellStyle name="Calculation 9 2 2 3 3" xfId="15109" xr:uid="{00000000-0005-0000-0000-000015170000}"/>
    <cellStyle name="Calculation 9 2 2 3 3 2" xfId="29941" xr:uid="{00000000-0005-0000-0000-000016170000}"/>
    <cellStyle name="Calculation 9 2 2 3 4" xfId="21860" xr:uid="{00000000-0005-0000-0000-000017170000}"/>
    <cellStyle name="Calculation 9 2 2 4" xfId="2775" xr:uid="{00000000-0005-0000-0000-000018170000}"/>
    <cellStyle name="Calculation 9 2 2 4 2" xfId="6866" xr:uid="{00000000-0005-0000-0000-000019170000}"/>
    <cellStyle name="Calculation 9 2 2 4 2 2" xfId="23073" xr:uid="{00000000-0005-0000-0000-00001A170000}"/>
    <cellStyle name="Calculation 9 2 2 4 3" xfId="13113" xr:uid="{00000000-0005-0000-0000-00001B170000}"/>
    <cellStyle name="Calculation 9 2 2 4 3 2" xfId="27945" xr:uid="{00000000-0005-0000-0000-00001C170000}"/>
    <cellStyle name="Calculation 9 2 2 4 4" xfId="20733" xr:uid="{00000000-0005-0000-0000-00001D170000}"/>
    <cellStyle name="Calculation 9 2 2 5" xfId="5939" xr:uid="{00000000-0005-0000-0000-00001E170000}"/>
    <cellStyle name="Calculation 9 2 2 5 2" xfId="16131" xr:uid="{00000000-0005-0000-0000-00001F170000}"/>
    <cellStyle name="Calculation 9 2 2 5 2 2" xfId="30963" xr:uid="{00000000-0005-0000-0000-000020170000}"/>
    <cellStyle name="Calculation 9 2 2 5 3" xfId="22504" xr:uid="{00000000-0005-0000-0000-000021170000}"/>
    <cellStyle name="Calculation 9 2 2 6" xfId="12201" xr:uid="{00000000-0005-0000-0000-000022170000}"/>
    <cellStyle name="Calculation 9 2 2 6 2" xfId="27033" xr:uid="{00000000-0005-0000-0000-000023170000}"/>
    <cellStyle name="Calculation 9 2 2 7" xfId="9797" xr:uid="{00000000-0005-0000-0000-000024170000}"/>
    <cellStyle name="Calculation 9 2 2 7 2" xfId="20048" xr:uid="{00000000-0005-0000-0000-000025170000}"/>
    <cellStyle name="Calculation 9 2 3" xfId="3715" xr:uid="{00000000-0005-0000-0000-000026170000}"/>
    <cellStyle name="Calculation 9 2 3 2" xfId="7771" xr:uid="{00000000-0005-0000-0000-000027170000}"/>
    <cellStyle name="Calculation 9 2 3 2 2" xfId="23652" xr:uid="{00000000-0005-0000-0000-000028170000}"/>
    <cellStyle name="Calculation 9 2 3 3" xfId="14050" xr:uid="{00000000-0005-0000-0000-000029170000}"/>
    <cellStyle name="Calculation 9 2 3 3 2" xfId="28882" xr:uid="{00000000-0005-0000-0000-00002A170000}"/>
    <cellStyle name="Calculation 9 2 3 4" xfId="21312" xr:uid="{00000000-0005-0000-0000-00002B170000}"/>
    <cellStyle name="Calculation 9 2 4" xfId="3363" xr:uid="{00000000-0005-0000-0000-00002C170000}"/>
    <cellStyle name="Calculation 9 2 4 2" xfId="7426" xr:uid="{00000000-0005-0000-0000-00002D170000}"/>
    <cellStyle name="Calculation 9 2 4 2 2" xfId="23427" xr:uid="{00000000-0005-0000-0000-00002E170000}"/>
    <cellStyle name="Calculation 9 2 4 3" xfId="13700" xr:uid="{00000000-0005-0000-0000-00002F170000}"/>
    <cellStyle name="Calculation 9 2 4 3 2" xfId="28532" xr:uid="{00000000-0005-0000-0000-000030170000}"/>
    <cellStyle name="Calculation 9 2 4 4" xfId="21112" xr:uid="{00000000-0005-0000-0000-000031170000}"/>
    <cellStyle name="Calculation 9 2 5" xfId="2355" xr:uid="{00000000-0005-0000-0000-000032170000}"/>
    <cellStyle name="Calculation 9 2 5 2" xfId="6467" xr:uid="{00000000-0005-0000-0000-000033170000}"/>
    <cellStyle name="Calculation 9 2 5 2 2" xfId="22837" xr:uid="{00000000-0005-0000-0000-000034170000}"/>
    <cellStyle name="Calculation 9 2 5 3" xfId="12694" xr:uid="{00000000-0005-0000-0000-000035170000}"/>
    <cellStyle name="Calculation 9 2 5 3 2" xfId="27526" xr:uid="{00000000-0005-0000-0000-000036170000}"/>
    <cellStyle name="Calculation 9 2 5 4" xfId="20479" xr:uid="{00000000-0005-0000-0000-000037170000}"/>
    <cellStyle name="Calculation 9 2 6" xfId="5480" xr:uid="{00000000-0005-0000-0000-000038170000}"/>
    <cellStyle name="Calculation 9 2 6 2" xfId="15715" xr:uid="{00000000-0005-0000-0000-000039170000}"/>
    <cellStyle name="Calculation 9 2 6 2 2" xfId="30547" xr:uid="{00000000-0005-0000-0000-00003A170000}"/>
    <cellStyle name="Calculation 9 2 6 3" xfId="22208" xr:uid="{00000000-0005-0000-0000-00003B170000}"/>
    <cellStyle name="Calculation 9 2 7" xfId="9322" xr:uid="{00000000-0005-0000-0000-00003C170000}"/>
    <cellStyle name="Calculation 9 2 7 2" xfId="24628" xr:uid="{00000000-0005-0000-0000-00003D170000}"/>
    <cellStyle name="Calculation 9 2 8" xfId="9401" xr:uid="{00000000-0005-0000-0000-00003E170000}"/>
    <cellStyle name="Calculation 9 2 8 2" xfId="19705" xr:uid="{00000000-0005-0000-0000-00003F170000}"/>
    <cellStyle name="Calculation 9 3" xfId="1437" xr:uid="{00000000-0005-0000-0000-000040170000}"/>
    <cellStyle name="Calculation 9 3 2" xfId="1938" xr:uid="{00000000-0005-0000-0000-000041170000}"/>
    <cellStyle name="Calculation 9 3 2 2" xfId="3649" xr:uid="{00000000-0005-0000-0000-000042170000}"/>
    <cellStyle name="Calculation 9 3 2 2 2" xfId="7708" xr:uid="{00000000-0005-0000-0000-000043170000}"/>
    <cellStyle name="Calculation 9 3 2 2 2 2" xfId="23607" xr:uid="{00000000-0005-0000-0000-000044170000}"/>
    <cellStyle name="Calculation 9 3 2 2 3" xfId="13984" xr:uid="{00000000-0005-0000-0000-000045170000}"/>
    <cellStyle name="Calculation 9 3 2 2 3 2" xfId="28816" xr:uid="{00000000-0005-0000-0000-000046170000}"/>
    <cellStyle name="Calculation 9 3 2 2 4" xfId="21272" xr:uid="{00000000-0005-0000-0000-000047170000}"/>
    <cellStyle name="Calculation 9 3 2 3" xfId="4917" xr:uid="{00000000-0005-0000-0000-000048170000}"/>
    <cellStyle name="Calculation 9 3 2 3 2" xfId="8956" xr:uid="{00000000-0005-0000-0000-000049170000}"/>
    <cellStyle name="Calculation 9 3 2 3 2 2" xfId="24422" xr:uid="{00000000-0005-0000-0000-00004A170000}"/>
    <cellStyle name="Calculation 9 3 2 3 3" xfId="15239" xr:uid="{00000000-0005-0000-0000-00004B170000}"/>
    <cellStyle name="Calculation 9 3 2 3 3 2" xfId="30071" xr:uid="{00000000-0005-0000-0000-00004C170000}"/>
    <cellStyle name="Calculation 9 3 2 3 4" xfId="21952" xr:uid="{00000000-0005-0000-0000-00004D170000}"/>
    <cellStyle name="Calculation 9 3 2 4" xfId="2907" xr:uid="{00000000-0005-0000-0000-00004E170000}"/>
    <cellStyle name="Calculation 9 3 2 4 2" xfId="6991" xr:uid="{00000000-0005-0000-0000-00004F170000}"/>
    <cellStyle name="Calculation 9 3 2 4 2 2" xfId="23165" xr:uid="{00000000-0005-0000-0000-000050170000}"/>
    <cellStyle name="Calculation 9 3 2 4 3" xfId="13245" xr:uid="{00000000-0005-0000-0000-000051170000}"/>
    <cellStyle name="Calculation 9 3 2 4 3 2" xfId="28077" xr:uid="{00000000-0005-0000-0000-000052170000}"/>
    <cellStyle name="Calculation 9 3 2 4 4" xfId="20833" xr:uid="{00000000-0005-0000-0000-000053170000}"/>
    <cellStyle name="Calculation 9 3 2 5" xfId="6068" xr:uid="{00000000-0005-0000-0000-000054170000}"/>
    <cellStyle name="Calculation 9 3 2 5 2" xfId="16255" xr:uid="{00000000-0005-0000-0000-000055170000}"/>
    <cellStyle name="Calculation 9 3 2 5 2 2" xfId="31087" xr:uid="{00000000-0005-0000-0000-000056170000}"/>
    <cellStyle name="Calculation 9 3 2 5 3" xfId="22601" xr:uid="{00000000-0005-0000-0000-000057170000}"/>
    <cellStyle name="Calculation 9 3 2 6" xfId="12325" xr:uid="{00000000-0005-0000-0000-000058170000}"/>
    <cellStyle name="Calculation 9 3 2 6 2" xfId="27157" xr:uid="{00000000-0005-0000-0000-000059170000}"/>
    <cellStyle name="Calculation 9 3 2 7" xfId="9922" xr:uid="{00000000-0005-0000-0000-00005A170000}"/>
    <cellStyle name="Calculation 9 3 2 7 2" xfId="20124" xr:uid="{00000000-0005-0000-0000-00005B170000}"/>
    <cellStyle name="Calculation 9 3 3" xfId="3454" xr:uid="{00000000-0005-0000-0000-00005C170000}"/>
    <cellStyle name="Calculation 9 3 3 2" xfId="7517" xr:uid="{00000000-0005-0000-0000-00005D170000}"/>
    <cellStyle name="Calculation 9 3 3 2 2" xfId="23487" xr:uid="{00000000-0005-0000-0000-00005E170000}"/>
    <cellStyle name="Calculation 9 3 3 3" xfId="13791" xr:uid="{00000000-0005-0000-0000-00005F170000}"/>
    <cellStyle name="Calculation 9 3 3 3 2" xfId="28623" xr:uid="{00000000-0005-0000-0000-000060170000}"/>
    <cellStyle name="Calculation 9 3 3 4" xfId="21162" xr:uid="{00000000-0005-0000-0000-000061170000}"/>
    <cellStyle name="Calculation 9 3 4" xfId="4497" xr:uid="{00000000-0005-0000-0000-000062170000}"/>
    <cellStyle name="Calculation 9 3 4 2" xfId="8536" xr:uid="{00000000-0005-0000-0000-000063170000}"/>
    <cellStyle name="Calculation 9 3 4 2 2" xfId="24162" xr:uid="{00000000-0005-0000-0000-000064170000}"/>
    <cellStyle name="Calculation 9 3 4 3" xfId="14824" xr:uid="{00000000-0005-0000-0000-000065170000}"/>
    <cellStyle name="Calculation 9 3 4 3 2" xfId="29656" xr:uid="{00000000-0005-0000-0000-000066170000}"/>
    <cellStyle name="Calculation 9 3 4 4" xfId="21722" xr:uid="{00000000-0005-0000-0000-000067170000}"/>
    <cellStyle name="Calculation 9 3 5" xfId="2487" xr:uid="{00000000-0005-0000-0000-000068170000}"/>
    <cellStyle name="Calculation 9 3 5 2" xfId="6593" xr:uid="{00000000-0005-0000-0000-000069170000}"/>
    <cellStyle name="Calculation 9 3 5 2 2" xfId="22931" xr:uid="{00000000-0005-0000-0000-00006A170000}"/>
    <cellStyle name="Calculation 9 3 5 3" xfId="12825" xr:uid="{00000000-0005-0000-0000-00006B170000}"/>
    <cellStyle name="Calculation 9 3 5 3 2" xfId="27657" xr:uid="{00000000-0005-0000-0000-00006C170000}"/>
    <cellStyle name="Calculation 9 3 5 4" xfId="20577" xr:uid="{00000000-0005-0000-0000-00006D170000}"/>
    <cellStyle name="Calculation 9 3 6" xfId="5610" xr:uid="{00000000-0005-0000-0000-00006E170000}"/>
    <cellStyle name="Calculation 9 3 6 2" xfId="15845" xr:uid="{00000000-0005-0000-0000-00006F170000}"/>
    <cellStyle name="Calculation 9 3 6 2 2" xfId="30677" xr:uid="{00000000-0005-0000-0000-000070170000}"/>
    <cellStyle name="Calculation 9 3 6 3" xfId="22306" xr:uid="{00000000-0005-0000-0000-000071170000}"/>
    <cellStyle name="Calculation 9 3 7" xfId="11854" xr:uid="{00000000-0005-0000-0000-000072170000}"/>
    <cellStyle name="Calculation 9 3 7 2" xfId="26686" xr:uid="{00000000-0005-0000-0000-000073170000}"/>
    <cellStyle name="Calculation 9 3 8" xfId="9527" xr:uid="{00000000-0005-0000-0000-000074170000}"/>
    <cellStyle name="Calculation 9 3 8 2" xfId="19829" xr:uid="{00000000-0005-0000-0000-000075170000}"/>
    <cellStyle name="Calculation 9 4" xfId="1417" xr:uid="{00000000-0005-0000-0000-000076170000}"/>
    <cellStyle name="Calculation 9 4 2" xfId="1919" xr:uid="{00000000-0005-0000-0000-000077170000}"/>
    <cellStyle name="Calculation 9 4 2 2" xfId="3760" xr:uid="{00000000-0005-0000-0000-000078170000}"/>
    <cellStyle name="Calculation 9 4 2 2 2" xfId="7816" xr:uid="{00000000-0005-0000-0000-000079170000}"/>
    <cellStyle name="Calculation 9 4 2 2 2 2" xfId="23681" xr:uid="{00000000-0005-0000-0000-00007A170000}"/>
    <cellStyle name="Calculation 9 4 2 2 3" xfId="14095" xr:uid="{00000000-0005-0000-0000-00007B170000}"/>
    <cellStyle name="Calculation 9 4 2 2 3 2" xfId="28927" xr:uid="{00000000-0005-0000-0000-00007C170000}"/>
    <cellStyle name="Calculation 9 4 2 2 4" xfId="21337" xr:uid="{00000000-0005-0000-0000-00007D170000}"/>
    <cellStyle name="Calculation 9 4 2 3" xfId="4897" xr:uid="{00000000-0005-0000-0000-00007E170000}"/>
    <cellStyle name="Calculation 9 4 2 3 2" xfId="8936" xr:uid="{00000000-0005-0000-0000-00007F170000}"/>
    <cellStyle name="Calculation 9 4 2 3 2 2" xfId="24402" xr:uid="{00000000-0005-0000-0000-000080170000}"/>
    <cellStyle name="Calculation 9 4 2 3 3" xfId="15220" xr:uid="{00000000-0005-0000-0000-000081170000}"/>
    <cellStyle name="Calculation 9 4 2 3 3 2" xfId="30052" xr:uid="{00000000-0005-0000-0000-000082170000}"/>
    <cellStyle name="Calculation 9 4 2 3 4" xfId="21934" xr:uid="{00000000-0005-0000-0000-000083170000}"/>
    <cellStyle name="Calculation 9 4 2 4" xfId="2887" xr:uid="{00000000-0005-0000-0000-000084170000}"/>
    <cellStyle name="Calculation 9 4 2 4 2" xfId="6972" xr:uid="{00000000-0005-0000-0000-000085170000}"/>
    <cellStyle name="Calculation 9 4 2 4 2 2" xfId="23147" xr:uid="{00000000-0005-0000-0000-000086170000}"/>
    <cellStyle name="Calculation 9 4 2 4 3" xfId="13225" xr:uid="{00000000-0005-0000-0000-000087170000}"/>
    <cellStyle name="Calculation 9 4 2 4 3 2" xfId="28057" xr:uid="{00000000-0005-0000-0000-000088170000}"/>
    <cellStyle name="Calculation 9 4 2 4 4" xfId="20813" xr:uid="{00000000-0005-0000-0000-000089170000}"/>
    <cellStyle name="Calculation 9 4 2 5" xfId="6050" xr:uid="{00000000-0005-0000-0000-00008A170000}"/>
    <cellStyle name="Calculation 9 4 2 5 2" xfId="16237" xr:uid="{00000000-0005-0000-0000-00008B170000}"/>
    <cellStyle name="Calculation 9 4 2 5 2 2" xfId="31069" xr:uid="{00000000-0005-0000-0000-00008C170000}"/>
    <cellStyle name="Calculation 9 4 2 5 3" xfId="22583" xr:uid="{00000000-0005-0000-0000-00008D170000}"/>
    <cellStyle name="Calculation 9 4 2 6" xfId="12307" xr:uid="{00000000-0005-0000-0000-00008E170000}"/>
    <cellStyle name="Calculation 9 4 2 6 2" xfId="27139" xr:uid="{00000000-0005-0000-0000-00008F170000}"/>
    <cellStyle name="Calculation 9 4 2 7" xfId="9903" xr:uid="{00000000-0005-0000-0000-000090170000}"/>
    <cellStyle name="Calculation 9 4 2 7 2" xfId="20106" xr:uid="{00000000-0005-0000-0000-000091170000}"/>
    <cellStyle name="Calculation 9 4 3" xfId="3721" xr:uid="{00000000-0005-0000-0000-000092170000}"/>
    <cellStyle name="Calculation 9 4 3 2" xfId="7777" xr:uid="{00000000-0005-0000-0000-000093170000}"/>
    <cellStyle name="Calculation 9 4 3 2 2" xfId="23657" xr:uid="{00000000-0005-0000-0000-000094170000}"/>
    <cellStyle name="Calculation 9 4 3 3" xfId="14056" xr:uid="{00000000-0005-0000-0000-000095170000}"/>
    <cellStyle name="Calculation 9 4 3 3 2" xfId="28888" xr:uid="{00000000-0005-0000-0000-000096170000}"/>
    <cellStyle name="Calculation 9 4 3 4" xfId="21317" xr:uid="{00000000-0005-0000-0000-000097170000}"/>
    <cellStyle name="Calculation 9 4 4" xfId="4477" xr:uid="{00000000-0005-0000-0000-000098170000}"/>
    <cellStyle name="Calculation 9 4 4 2" xfId="8516" xr:uid="{00000000-0005-0000-0000-000099170000}"/>
    <cellStyle name="Calculation 9 4 4 2 2" xfId="24142" xr:uid="{00000000-0005-0000-0000-00009A170000}"/>
    <cellStyle name="Calculation 9 4 4 3" xfId="14805" xr:uid="{00000000-0005-0000-0000-00009B170000}"/>
    <cellStyle name="Calculation 9 4 4 3 2" xfId="29637" xr:uid="{00000000-0005-0000-0000-00009C170000}"/>
    <cellStyle name="Calculation 9 4 4 4" xfId="21704" xr:uid="{00000000-0005-0000-0000-00009D170000}"/>
    <cellStyle name="Calculation 9 4 5" xfId="2467" xr:uid="{00000000-0005-0000-0000-00009E170000}"/>
    <cellStyle name="Calculation 9 4 5 2" xfId="6573" xr:uid="{00000000-0005-0000-0000-00009F170000}"/>
    <cellStyle name="Calculation 9 4 5 2 2" xfId="22911" xr:uid="{00000000-0005-0000-0000-0000A0170000}"/>
    <cellStyle name="Calculation 9 4 5 3" xfId="12806" xr:uid="{00000000-0005-0000-0000-0000A1170000}"/>
    <cellStyle name="Calculation 9 4 5 3 2" xfId="27638" xr:uid="{00000000-0005-0000-0000-0000A2170000}"/>
    <cellStyle name="Calculation 9 4 5 4" xfId="20559" xr:uid="{00000000-0005-0000-0000-0000A3170000}"/>
    <cellStyle name="Calculation 9 4 6" xfId="5591" xr:uid="{00000000-0005-0000-0000-0000A4170000}"/>
    <cellStyle name="Calculation 9 4 6 2" xfId="15826" xr:uid="{00000000-0005-0000-0000-0000A5170000}"/>
    <cellStyle name="Calculation 9 4 6 2 2" xfId="30658" xr:uid="{00000000-0005-0000-0000-0000A6170000}"/>
    <cellStyle name="Calculation 9 4 6 3" xfId="22287" xr:uid="{00000000-0005-0000-0000-0000A7170000}"/>
    <cellStyle name="Calculation 9 4 7" xfId="11836" xr:uid="{00000000-0005-0000-0000-0000A8170000}"/>
    <cellStyle name="Calculation 9 4 7 2" xfId="26668" xr:uid="{00000000-0005-0000-0000-0000A9170000}"/>
    <cellStyle name="Calculation 9 4 8" xfId="9508" xr:uid="{00000000-0005-0000-0000-0000AA170000}"/>
    <cellStyle name="Calculation 9 4 8 2" xfId="19811" xr:uid="{00000000-0005-0000-0000-0000AB170000}"/>
    <cellStyle name="Calculation 9 5" xfId="1423" xr:uid="{00000000-0005-0000-0000-0000AC170000}"/>
    <cellStyle name="Calculation 9 5 2" xfId="1924" xr:uid="{00000000-0005-0000-0000-0000AD170000}"/>
    <cellStyle name="Calculation 9 5 2 2" xfId="3870" xr:uid="{00000000-0005-0000-0000-0000AE170000}"/>
    <cellStyle name="Calculation 9 5 2 2 2" xfId="7922" xr:uid="{00000000-0005-0000-0000-0000AF170000}"/>
    <cellStyle name="Calculation 9 5 2 2 2 2" xfId="23751" xr:uid="{00000000-0005-0000-0000-0000B0170000}"/>
    <cellStyle name="Calculation 9 5 2 2 3" xfId="14205" xr:uid="{00000000-0005-0000-0000-0000B1170000}"/>
    <cellStyle name="Calculation 9 5 2 2 3 2" xfId="29037" xr:uid="{00000000-0005-0000-0000-0000B2170000}"/>
    <cellStyle name="Calculation 9 5 2 2 4" xfId="21393" xr:uid="{00000000-0005-0000-0000-0000B3170000}"/>
    <cellStyle name="Calculation 9 5 2 3" xfId="4903" xr:uid="{00000000-0005-0000-0000-0000B4170000}"/>
    <cellStyle name="Calculation 9 5 2 3 2" xfId="8942" xr:uid="{00000000-0005-0000-0000-0000B5170000}"/>
    <cellStyle name="Calculation 9 5 2 3 2 2" xfId="24408" xr:uid="{00000000-0005-0000-0000-0000B6170000}"/>
    <cellStyle name="Calculation 9 5 2 3 3" xfId="15225" xr:uid="{00000000-0005-0000-0000-0000B7170000}"/>
    <cellStyle name="Calculation 9 5 2 3 3 2" xfId="30057" xr:uid="{00000000-0005-0000-0000-0000B8170000}"/>
    <cellStyle name="Calculation 9 5 2 3 4" xfId="21938" xr:uid="{00000000-0005-0000-0000-0000B9170000}"/>
    <cellStyle name="Calculation 9 5 2 4" xfId="2893" xr:uid="{00000000-0005-0000-0000-0000BA170000}"/>
    <cellStyle name="Calculation 9 5 2 4 2" xfId="6977" xr:uid="{00000000-0005-0000-0000-0000BB170000}"/>
    <cellStyle name="Calculation 9 5 2 4 2 2" xfId="23151" xr:uid="{00000000-0005-0000-0000-0000BC170000}"/>
    <cellStyle name="Calculation 9 5 2 4 3" xfId="13231" xr:uid="{00000000-0005-0000-0000-0000BD170000}"/>
    <cellStyle name="Calculation 9 5 2 4 3 2" xfId="28063" xr:uid="{00000000-0005-0000-0000-0000BE170000}"/>
    <cellStyle name="Calculation 9 5 2 4 4" xfId="20819" xr:uid="{00000000-0005-0000-0000-0000BF170000}"/>
    <cellStyle name="Calculation 9 5 2 5" xfId="6054" xr:uid="{00000000-0005-0000-0000-0000C0170000}"/>
    <cellStyle name="Calculation 9 5 2 5 2" xfId="16241" xr:uid="{00000000-0005-0000-0000-0000C1170000}"/>
    <cellStyle name="Calculation 9 5 2 5 2 2" xfId="31073" xr:uid="{00000000-0005-0000-0000-0000C2170000}"/>
    <cellStyle name="Calculation 9 5 2 5 3" xfId="22587" xr:uid="{00000000-0005-0000-0000-0000C3170000}"/>
    <cellStyle name="Calculation 9 5 2 6" xfId="12311" xr:uid="{00000000-0005-0000-0000-0000C4170000}"/>
    <cellStyle name="Calculation 9 5 2 6 2" xfId="27143" xr:uid="{00000000-0005-0000-0000-0000C5170000}"/>
    <cellStyle name="Calculation 9 5 2 7" xfId="9908" xr:uid="{00000000-0005-0000-0000-0000C6170000}"/>
    <cellStyle name="Calculation 9 5 2 7 2" xfId="20110" xr:uid="{00000000-0005-0000-0000-0000C7170000}"/>
    <cellStyle name="Calculation 9 5 3" xfId="3939" xr:uid="{00000000-0005-0000-0000-0000C8170000}"/>
    <cellStyle name="Calculation 9 5 3 2" xfId="7989" xr:uid="{00000000-0005-0000-0000-0000C9170000}"/>
    <cellStyle name="Calculation 9 5 3 2 2" xfId="23790" xr:uid="{00000000-0005-0000-0000-0000CA170000}"/>
    <cellStyle name="Calculation 9 5 3 3" xfId="14272" xr:uid="{00000000-0005-0000-0000-0000CB170000}"/>
    <cellStyle name="Calculation 9 5 3 3 2" xfId="29104" xr:uid="{00000000-0005-0000-0000-0000CC170000}"/>
    <cellStyle name="Calculation 9 5 3 4" xfId="21432" xr:uid="{00000000-0005-0000-0000-0000CD170000}"/>
    <cellStyle name="Calculation 9 5 4" xfId="4483" xr:uid="{00000000-0005-0000-0000-0000CE170000}"/>
    <cellStyle name="Calculation 9 5 4 2" xfId="8522" xr:uid="{00000000-0005-0000-0000-0000CF170000}"/>
    <cellStyle name="Calculation 9 5 4 2 2" xfId="24148" xr:uid="{00000000-0005-0000-0000-0000D0170000}"/>
    <cellStyle name="Calculation 9 5 4 3" xfId="14810" xr:uid="{00000000-0005-0000-0000-0000D1170000}"/>
    <cellStyle name="Calculation 9 5 4 3 2" xfId="29642" xr:uid="{00000000-0005-0000-0000-0000D2170000}"/>
    <cellStyle name="Calculation 9 5 4 4" xfId="21708" xr:uid="{00000000-0005-0000-0000-0000D3170000}"/>
    <cellStyle name="Calculation 9 5 5" xfId="2473" xr:uid="{00000000-0005-0000-0000-0000D4170000}"/>
    <cellStyle name="Calculation 9 5 5 2" xfId="6579" xr:uid="{00000000-0005-0000-0000-0000D5170000}"/>
    <cellStyle name="Calculation 9 5 5 2 2" xfId="22917" xr:uid="{00000000-0005-0000-0000-0000D6170000}"/>
    <cellStyle name="Calculation 9 5 5 3" xfId="12811" xr:uid="{00000000-0005-0000-0000-0000D7170000}"/>
    <cellStyle name="Calculation 9 5 5 3 2" xfId="27643" xr:uid="{00000000-0005-0000-0000-0000D8170000}"/>
    <cellStyle name="Calculation 9 5 5 4" xfId="20563" xr:uid="{00000000-0005-0000-0000-0000D9170000}"/>
    <cellStyle name="Calculation 9 5 6" xfId="5596" xr:uid="{00000000-0005-0000-0000-0000DA170000}"/>
    <cellStyle name="Calculation 9 5 6 2" xfId="15831" xr:uid="{00000000-0005-0000-0000-0000DB170000}"/>
    <cellStyle name="Calculation 9 5 6 2 2" xfId="30663" xr:uid="{00000000-0005-0000-0000-0000DC170000}"/>
    <cellStyle name="Calculation 9 5 6 3" xfId="22292" xr:uid="{00000000-0005-0000-0000-0000DD170000}"/>
    <cellStyle name="Calculation 9 5 7" xfId="11840" xr:uid="{00000000-0005-0000-0000-0000DE170000}"/>
    <cellStyle name="Calculation 9 5 7 2" xfId="26672" xr:uid="{00000000-0005-0000-0000-0000DF170000}"/>
    <cellStyle name="Calculation 9 5 8" xfId="9513" xr:uid="{00000000-0005-0000-0000-0000E0170000}"/>
    <cellStyle name="Calculation 9 5 8 2" xfId="19815" xr:uid="{00000000-0005-0000-0000-0000E1170000}"/>
    <cellStyle name="Calculation 9 6" xfId="1714" xr:uid="{00000000-0005-0000-0000-0000E2170000}"/>
    <cellStyle name="Calculation 9 6 2" xfId="3755" xr:uid="{00000000-0005-0000-0000-0000E3170000}"/>
    <cellStyle name="Calculation 9 6 2 2" xfId="7811" xr:uid="{00000000-0005-0000-0000-0000E4170000}"/>
    <cellStyle name="Calculation 9 6 2 2 2" xfId="23679" xr:uid="{00000000-0005-0000-0000-0000E5170000}"/>
    <cellStyle name="Calculation 9 6 2 3" xfId="14090" xr:uid="{00000000-0005-0000-0000-0000E6170000}"/>
    <cellStyle name="Calculation 9 6 2 3 2" xfId="28922" xr:uid="{00000000-0005-0000-0000-0000E7170000}"/>
    <cellStyle name="Calculation 9 6 2 4" xfId="21335" xr:uid="{00000000-0005-0000-0000-0000E8170000}"/>
    <cellStyle name="Calculation 9 6 3" xfId="4707" xr:uid="{00000000-0005-0000-0000-0000E9170000}"/>
    <cellStyle name="Calculation 9 6 3 2" xfId="8746" xr:uid="{00000000-0005-0000-0000-0000EA170000}"/>
    <cellStyle name="Calculation 9 6 3 2 2" xfId="24276" xr:uid="{00000000-0005-0000-0000-0000EB170000}"/>
    <cellStyle name="Calculation 9 6 3 3" xfId="15031" xr:uid="{00000000-0005-0000-0000-0000EC170000}"/>
    <cellStyle name="Calculation 9 6 3 3 2" xfId="29863" xr:uid="{00000000-0005-0000-0000-0000ED170000}"/>
    <cellStyle name="Calculation 9 6 3 4" xfId="21814" xr:uid="{00000000-0005-0000-0000-0000EE170000}"/>
    <cellStyle name="Calculation 9 6 4" xfId="2697" xr:uid="{00000000-0005-0000-0000-0000EF170000}"/>
    <cellStyle name="Calculation 9 6 4 2" xfId="6788" xr:uid="{00000000-0005-0000-0000-0000F0170000}"/>
    <cellStyle name="Calculation 9 6 4 2 2" xfId="23027" xr:uid="{00000000-0005-0000-0000-0000F1170000}"/>
    <cellStyle name="Calculation 9 6 4 3" xfId="13035" xr:uid="{00000000-0005-0000-0000-0000F2170000}"/>
    <cellStyle name="Calculation 9 6 4 3 2" xfId="27867" xr:uid="{00000000-0005-0000-0000-0000F3170000}"/>
    <cellStyle name="Calculation 9 6 4 4" xfId="20687" xr:uid="{00000000-0005-0000-0000-0000F4170000}"/>
    <cellStyle name="Calculation 9 6 5" xfId="5846" xr:uid="{00000000-0005-0000-0000-0000F5170000}"/>
    <cellStyle name="Calculation 9 6 5 2" xfId="16038" xr:uid="{00000000-0005-0000-0000-0000F6170000}"/>
    <cellStyle name="Calculation 9 6 5 2 2" xfId="30870" xr:uid="{00000000-0005-0000-0000-0000F7170000}"/>
    <cellStyle name="Calculation 9 6 5 3" xfId="22443" xr:uid="{00000000-0005-0000-0000-0000F8170000}"/>
    <cellStyle name="Calculation 9 6 6" xfId="12108" xr:uid="{00000000-0005-0000-0000-0000F9170000}"/>
    <cellStyle name="Calculation 9 6 6 2" xfId="26940" xr:uid="{00000000-0005-0000-0000-0000FA170000}"/>
    <cellStyle name="Calculation 9 6 7" xfId="9719" xr:uid="{00000000-0005-0000-0000-0000FB170000}"/>
    <cellStyle name="Calculation 9 6 7 2" xfId="20017" xr:uid="{00000000-0005-0000-0000-0000FC170000}"/>
    <cellStyle name="Calculation 9 7" xfId="2237" xr:uid="{00000000-0005-0000-0000-0000FD170000}"/>
    <cellStyle name="Calculation 9 7 2" xfId="3908" xr:uid="{00000000-0005-0000-0000-0000FE170000}"/>
    <cellStyle name="Calculation 9 7 2 2" xfId="7959" xr:uid="{00000000-0005-0000-0000-0000FF170000}"/>
    <cellStyle name="Calculation 9 7 2 2 2" xfId="23772" xr:uid="{00000000-0005-0000-0000-000000180000}"/>
    <cellStyle name="Calculation 9 7 2 3" xfId="14241" xr:uid="{00000000-0005-0000-0000-000001180000}"/>
    <cellStyle name="Calculation 9 7 2 3 2" xfId="29073" xr:uid="{00000000-0005-0000-0000-000002180000}"/>
    <cellStyle name="Calculation 9 7 2 4" xfId="21413" xr:uid="{00000000-0005-0000-0000-000003180000}"/>
    <cellStyle name="Calculation 9 7 3" xfId="5205" xr:uid="{00000000-0005-0000-0000-000004180000}"/>
    <cellStyle name="Calculation 9 7 3 2" xfId="9244" xr:uid="{00000000-0005-0000-0000-000005180000}"/>
    <cellStyle name="Calculation 9 7 3 2 2" xfId="24582" xr:uid="{00000000-0005-0000-0000-000006180000}"/>
    <cellStyle name="Calculation 9 7 3 3" xfId="15523" xr:uid="{00000000-0005-0000-0000-000007180000}"/>
    <cellStyle name="Calculation 9 7 3 3 2" xfId="30355" xr:uid="{00000000-0005-0000-0000-000008180000}"/>
    <cellStyle name="Calculation 9 7 3 4" xfId="22089" xr:uid="{00000000-0005-0000-0000-000009180000}"/>
    <cellStyle name="Calculation 9 7 4" xfId="4235" xr:uid="{00000000-0005-0000-0000-00000A180000}"/>
    <cellStyle name="Calculation 9 7 4 2" xfId="8276" xr:uid="{00000000-0005-0000-0000-00000B180000}"/>
    <cellStyle name="Calculation 9 7 4 2 2" xfId="23971" xr:uid="{00000000-0005-0000-0000-00000C180000}"/>
    <cellStyle name="Calculation 9 7 4 3" xfId="14567" xr:uid="{00000000-0005-0000-0000-00000D180000}"/>
    <cellStyle name="Calculation 9 7 4 3 2" xfId="29399" xr:uid="{00000000-0005-0000-0000-00000E180000}"/>
    <cellStyle name="Calculation 9 7 4 4" xfId="21596" xr:uid="{00000000-0005-0000-0000-00000F180000}"/>
    <cellStyle name="Calculation 9 7 5" xfId="6351" xr:uid="{00000000-0005-0000-0000-000010180000}"/>
    <cellStyle name="Calculation 9 7 5 2" xfId="22753" xr:uid="{00000000-0005-0000-0000-000011180000}"/>
    <cellStyle name="Calculation 9 7 6" xfId="12605" xr:uid="{00000000-0005-0000-0000-000012180000}"/>
    <cellStyle name="Calculation 9 7 6 2" xfId="27437" xr:uid="{00000000-0005-0000-0000-000013180000}"/>
    <cellStyle name="Calculation 9 7 7" xfId="20432" xr:uid="{00000000-0005-0000-0000-000014180000}"/>
    <cellStyle name="Calculation 9 8" xfId="3892" xr:uid="{00000000-0005-0000-0000-000015180000}"/>
    <cellStyle name="Calculation 9 8 2" xfId="7943" xr:uid="{00000000-0005-0000-0000-000016180000}"/>
    <cellStyle name="Calculation 9 8 2 2" xfId="23765" xr:uid="{00000000-0005-0000-0000-000017180000}"/>
    <cellStyle name="Calculation 9 8 3" xfId="14225" xr:uid="{00000000-0005-0000-0000-000018180000}"/>
    <cellStyle name="Calculation 9 8 3 2" xfId="29057" xr:uid="{00000000-0005-0000-0000-000019180000}"/>
    <cellStyle name="Calculation 9 8 4" xfId="21406" xr:uid="{00000000-0005-0000-0000-00001A180000}"/>
    <cellStyle name="Calculation 9 9" xfId="3251" xr:uid="{00000000-0005-0000-0000-00001B180000}"/>
    <cellStyle name="Calculation 9 9 2" xfId="7315" xr:uid="{00000000-0005-0000-0000-00001C180000}"/>
    <cellStyle name="Calculation 9 9 2 2" xfId="23353" xr:uid="{00000000-0005-0000-0000-00001D180000}"/>
    <cellStyle name="Calculation 9 9 3" xfId="13588" xr:uid="{00000000-0005-0000-0000-00001E180000}"/>
    <cellStyle name="Calculation 9 9 3 2" xfId="28420" xr:uid="{00000000-0005-0000-0000-00001F180000}"/>
    <cellStyle name="Calculation 9 9 4" xfId="21040" xr:uid="{00000000-0005-0000-0000-000020180000}"/>
    <cellStyle name="Check Cell 2" xfId="977" xr:uid="{00000000-0005-0000-0000-000021180000}"/>
    <cellStyle name="Check Cell 2 2" xfId="978" xr:uid="{00000000-0005-0000-0000-000022180000}"/>
    <cellStyle name="Check Cell 2 3" xfId="979" xr:uid="{00000000-0005-0000-0000-000023180000}"/>
    <cellStyle name="Check Cell 2 4" xfId="980" xr:uid="{00000000-0005-0000-0000-000024180000}"/>
    <cellStyle name="Check Cell 2 5" xfId="981" xr:uid="{00000000-0005-0000-0000-000025180000}"/>
    <cellStyle name="Check Cell 2 6" xfId="982" xr:uid="{00000000-0005-0000-0000-000026180000}"/>
    <cellStyle name="Check Cell 2 7" xfId="983" xr:uid="{00000000-0005-0000-0000-000027180000}"/>
    <cellStyle name="Check Cell 2 8" xfId="984" xr:uid="{00000000-0005-0000-0000-000028180000}"/>
    <cellStyle name="Check Cell 3" xfId="985" xr:uid="{00000000-0005-0000-0000-000029180000}"/>
    <cellStyle name="Check Cell 4" xfId="986" xr:uid="{00000000-0005-0000-0000-00002A180000}"/>
    <cellStyle name="Check Cell 5" xfId="987" xr:uid="{00000000-0005-0000-0000-00002B180000}"/>
    <cellStyle name="Check Cell 6" xfId="988" xr:uid="{00000000-0005-0000-0000-00002C180000}"/>
    <cellStyle name="Check Cell 7" xfId="989" xr:uid="{00000000-0005-0000-0000-00002D180000}"/>
    <cellStyle name="Check Cell 8" xfId="990" xr:uid="{00000000-0005-0000-0000-00002E180000}"/>
    <cellStyle name="Check Cell 9" xfId="976" xr:uid="{00000000-0005-0000-0000-00002F180000}"/>
    <cellStyle name="Comma" xfId="33021" builtinId="3"/>
    <cellStyle name="Comma 2" xfId="4" xr:uid="{00000000-0005-0000-0000-000031180000}"/>
    <cellStyle name="Comma 2 2" xfId="993" xr:uid="{00000000-0005-0000-0000-000032180000}"/>
    <cellStyle name="Comma 2 2 2" xfId="994" xr:uid="{00000000-0005-0000-0000-000033180000}"/>
    <cellStyle name="Comma 2 3" xfId="992" xr:uid="{00000000-0005-0000-0000-000034180000}"/>
    <cellStyle name="Comma 2 4" xfId="1387" xr:uid="{00000000-0005-0000-0000-000035180000}"/>
    <cellStyle name="Comma 3" xfId="6" xr:uid="{00000000-0005-0000-0000-000036180000}"/>
    <cellStyle name="Comma 3 2" xfId="996" xr:uid="{00000000-0005-0000-0000-000037180000}"/>
    <cellStyle name="Comma 3 3" xfId="997" xr:uid="{00000000-0005-0000-0000-000038180000}"/>
    <cellStyle name="Comma 3 4" xfId="998" xr:uid="{00000000-0005-0000-0000-000039180000}"/>
    <cellStyle name="Comma 3 5" xfId="999" xr:uid="{00000000-0005-0000-0000-00003A180000}"/>
    <cellStyle name="Comma 3 6" xfId="1000" xr:uid="{00000000-0005-0000-0000-00003B180000}"/>
    <cellStyle name="Comma 3 7" xfId="1001" xr:uid="{00000000-0005-0000-0000-00003C180000}"/>
    <cellStyle name="Comma 3 8" xfId="1002" xr:uid="{00000000-0005-0000-0000-00003D180000}"/>
    <cellStyle name="Comma 3 9" xfId="995" xr:uid="{00000000-0005-0000-0000-00003E180000}"/>
    <cellStyle name="Comma 4" xfId="1003" xr:uid="{00000000-0005-0000-0000-00003F180000}"/>
    <cellStyle name="Comma 4 2" xfId="1004" xr:uid="{00000000-0005-0000-0000-000040180000}"/>
    <cellStyle name="Comma 5" xfId="991" xr:uid="{00000000-0005-0000-0000-000041180000}"/>
    <cellStyle name="Currency" xfId="20251" builtinId="4"/>
    <cellStyle name="Explanatory Text 2" xfId="1006" xr:uid="{00000000-0005-0000-0000-000043180000}"/>
    <cellStyle name="Explanatory Text 2 2" xfId="1007" xr:uid="{00000000-0005-0000-0000-000044180000}"/>
    <cellStyle name="Explanatory Text 2 3" xfId="1008" xr:uid="{00000000-0005-0000-0000-000045180000}"/>
    <cellStyle name="Explanatory Text 2 4" xfId="1009" xr:uid="{00000000-0005-0000-0000-000046180000}"/>
    <cellStyle name="Explanatory Text 2 5" xfId="1010" xr:uid="{00000000-0005-0000-0000-000047180000}"/>
    <cellStyle name="Explanatory Text 2 6" xfId="1011" xr:uid="{00000000-0005-0000-0000-000048180000}"/>
    <cellStyle name="Explanatory Text 2 7" xfId="1012" xr:uid="{00000000-0005-0000-0000-000049180000}"/>
    <cellStyle name="Explanatory Text 2 8" xfId="1013" xr:uid="{00000000-0005-0000-0000-00004A180000}"/>
    <cellStyle name="Explanatory Text 3" xfId="1014" xr:uid="{00000000-0005-0000-0000-00004B180000}"/>
    <cellStyle name="Explanatory Text 4" xfId="1015" xr:uid="{00000000-0005-0000-0000-00004C180000}"/>
    <cellStyle name="Explanatory Text 5" xfId="1016" xr:uid="{00000000-0005-0000-0000-00004D180000}"/>
    <cellStyle name="Explanatory Text 6" xfId="1017" xr:uid="{00000000-0005-0000-0000-00004E180000}"/>
    <cellStyle name="Explanatory Text 7" xfId="1018" xr:uid="{00000000-0005-0000-0000-00004F180000}"/>
    <cellStyle name="Explanatory Text 8" xfId="1019" xr:uid="{00000000-0005-0000-0000-000050180000}"/>
    <cellStyle name="Explanatory Text 9" xfId="1005" xr:uid="{00000000-0005-0000-0000-000051180000}"/>
    <cellStyle name="Good 10" xfId="1020" xr:uid="{00000000-0005-0000-0000-000052180000}"/>
    <cellStyle name="Good 2" xfId="1021" xr:uid="{00000000-0005-0000-0000-000053180000}"/>
    <cellStyle name="Good 2 2" xfId="1022" xr:uid="{00000000-0005-0000-0000-000054180000}"/>
    <cellStyle name="Good 2 3" xfId="1023" xr:uid="{00000000-0005-0000-0000-000055180000}"/>
    <cellStyle name="Good 2 4" xfId="1024" xr:uid="{00000000-0005-0000-0000-000056180000}"/>
    <cellStyle name="Good 2 5" xfId="1025" xr:uid="{00000000-0005-0000-0000-000057180000}"/>
    <cellStyle name="Good 2 6" xfId="1026" xr:uid="{00000000-0005-0000-0000-000058180000}"/>
    <cellStyle name="Good 2 7" xfId="1027" xr:uid="{00000000-0005-0000-0000-000059180000}"/>
    <cellStyle name="Good 2 8" xfId="1028" xr:uid="{00000000-0005-0000-0000-00005A180000}"/>
    <cellStyle name="Good 3" xfId="1029" xr:uid="{00000000-0005-0000-0000-00005B180000}"/>
    <cellStyle name="Good 4" xfId="1030" xr:uid="{00000000-0005-0000-0000-00005C180000}"/>
    <cellStyle name="Good 5" xfId="1031" xr:uid="{00000000-0005-0000-0000-00005D180000}"/>
    <cellStyle name="Good 6" xfId="1032" xr:uid="{00000000-0005-0000-0000-00005E180000}"/>
    <cellStyle name="Good 7" xfId="1033" xr:uid="{00000000-0005-0000-0000-00005F180000}"/>
    <cellStyle name="Good 8" xfId="1034" xr:uid="{00000000-0005-0000-0000-000060180000}"/>
    <cellStyle name="Good 9" xfId="1035" xr:uid="{00000000-0005-0000-0000-000061180000}"/>
    <cellStyle name="Heading 1 2" xfId="1037" xr:uid="{00000000-0005-0000-0000-000062180000}"/>
    <cellStyle name="Heading 1 2 2" xfId="1038" xr:uid="{00000000-0005-0000-0000-000063180000}"/>
    <cellStyle name="Heading 1 2 3" xfId="1039" xr:uid="{00000000-0005-0000-0000-000064180000}"/>
    <cellStyle name="Heading 1 2 4" xfId="1040" xr:uid="{00000000-0005-0000-0000-000065180000}"/>
    <cellStyle name="Heading 1 2 5" xfId="1041" xr:uid="{00000000-0005-0000-0000-000066180000}"/>
    <cellStyle name="Heading 1 2 6" xfId="1042" xr:uid="{00000000-0005-0000-0000-000067180000}"/>
    <cellStyle name="Heading 1 2 7" xfId="1043" xr:uid="{00000000-0005-0000-0000-000068180000}"/>
    <cellStyle name="Heading 1 2 8" xfId="1044" xr:uid="{00000000-0005-0000-0000-000069180000}"/>
    <cellStyle name="Heading 1 3" xfId="1045" xr:uid="{00000000-0005-0000-0000-00006A180000}"/>
    <cellStyle name="Heading 1 4" xfId="1046" xr:uid="{00000000-0005-0000-0000-00006B180000}"/>
    <cellStyle name="Heading 1 5" xfId="1047" xr:uid="{00000000-0005-0000-0000-00006C180000}"/>
    <cellStyle name="Heading 1 6" xfId="1048" xr:uid="{00000000-0005-0000-0000-00006D180000}"/>
    <cellStyle name="Heading 1 7" xfId="1049" xr:uid="{00000000-0005-0000-0000-00006E180000}"/>
    <cellStyle name="Heading 1 8" xfId="1050" xr:uid="{00000000-0005-0000-0000-00006F180000}"/>
    <cellStyle name="Heading 1 9" xfId="1036" xr:uid="{00000000-0005-0000-0000-000070180000}"/>
    <cellStyle name="Heading 2 2" xfId="1052" xr:uid="{00000000-0005-0000-0000-000071180000}"/>
    <cellStyle name="Heading 2 2 2" xfId="1053" xr:uid="{00000000-0005-0000-0000-000072180000}"/>
    <cellStyle name="Heading 2 2 3" xfId="1054" xr:uid="{00000000-0005-0000-0000-000073180000}"/>
    <cellStyle name="Heading 2 2 4" xfId="1055" xr:uid="{00000000-0005-0000-0000-000074180000}"/>
    <cellStyle name="Heading 2 2 5" xfId="1056" xr:uid="{00000000-0005-0000-0000-000075180000}"/>
    <cellStyle name="Heading 2 2 6" xfId="1057" xr:uid="{00000000-0005-0000-0000-000076180000}"/>
    <cellStyle name="Heading 2 2 7" xfId="1058" xr:uid="{00000000-0005-0000-0000-000077180000}"/>
    <cellStyle name="Heading 2 2 8" xfId="1059" xr:uid="{00000000-0005-0000-0000-000078180000}"/>
    <cellStyle name="Heading 2 3" xfId="1060" xr:uid="{00000000-0005-0000-0000-000079180000}"/>
    <cellStyle name="Heading 2 4" xfId="1061" xr:uid="{00000000-0005-0000-0000-00007A180000}"/>
    <cellStyle name="Heading 2 5" xfId="1062" xr:uid="{00000000-0005-0000-0000-00007B180000}"/>
    <cellStyle name="Heading 2 6" xfId="1063" xr:uid="{00000000-0005-0000-0000-00007C180000}"/>
    <cellStyle name="Heading 2 7" xfId="1064" xr:uid="{00000000-0005-0000-0000-00007D180000}"/>
    <cellStyle name="Heading 2 8" xfId="1065" xr:uid="{00000000-0005-0000-0000-00007E180000}"/>
    <cellStyle name="Heading 2 9" xfId="1051" xr:uid="{00000000-0005-0000-0000-00007F180000}"/>
    <cellStyle name="Heading 3 2" xfId="1067" xr:uid="{00000000-0005-0000-0000-000080180000}"/>
    <cellStyle name="Heading 3 2 10" xfId="1730" xr:uid="{00000000-0005-0000-0000-000081180000}"/>
    <cellStyle name="Heading 3 2 10 2" xfId="3238" xr:uid="{00000000-0005-0000-0000-000082180000}"/>
    <cellStyle name="Heading 3 2 10 2 2" xfId="7302" xr:uid="{00000000-0005-0000-0000-000083180000}"/>
    <cellStyle name="Heading 3 2 10 2 2 2" xfId="17061" xr:uid="{00000000-0005-0000-0000-000084180000}"/>
    <cellStyle name="Heading 3 2 10 2 2 2 2" xfId="31893" xr:uid="{00000000-0005-0000-0000-000085180000}"/>
    <cellStyle name="Heading 3 2 10 2 2 3" xfId="23342" xr:uid="{00000000-0005-0000-0000-000086180000}"/>
    <cellStyle name="Heading 3 2 10 2 3" xfId="13575" xr:uid="{00000000-0005-0000-0000-000087180000}"/>
    <cellStyle name="Heading 3 2 10 2 3 2" xfId="28407" xr:uid="{00000000-0005-0000-0000-000088180000}"/>
    <cellStyle name="Heading 3 2 10 2 4" xfId="21030" xr:uid="{00000000-0005-0000-0000-000089180000}"/>
    <cellStyle name="Heading 3 2 10 3" xfId="5862" xr:uid="{00000000-0005-0000-0000-00008A180000}"/>
    <cellStyle name="Heading 3 2 10 3 2" xfId="16054" xr:uid="{00000000-0005-0000-0000-00008B180000}"/>
    <cellStyle name="Heading 3 2 10 3 2 2" xfId="30886" xr:uid="{00000000-0005-0000-0000-00008C180000}"/>
    <cellStyle name="Heading 3 2 10 3 3" xfId="22459" xr:uid="{00000000-0005-0000-0000-00008D180000}"/>
    <cellStyle name="Heading 3 2 10 4" xfId="12124" xr:uid="{00000000-0005-0000-0000-00008E180000}"/>
    <cellStyle name="Heading 3 2 10 4 2" xfId="26956" xr:uid="{00000000-0005-0000-0000-00008F180000}"/>
    <cellStyle name="Heading 3 2 10 5" xfId="20283" xr:uid="{00000000-0005-0000-0000-000090180000}"/>
    <cellStyle name="Heading 3 2 11" xfId="3297" xr:uid="{00000000-0005-0000-0000-000091180000}"/>
    <cellStyle name="Heading 3 2 11 2" xfId="7361" xr:uid="{00000000-0005-0000-0000-000092180000}"/>
    <cellStyle name="Heading 3 2 11 2 2" xfId="17102" xr:uid="{00000000-0005-0000-0000-000093180000}"/>
    <cellStyle name="Heading 3 2 11 2 2 2" xfId="31934" xr:uid="{00000000-0005-0000-0000-000094180000}"/>
    <cellStyle name="Heading 3 2 11 2 3" xfId="23384" xr:uid="{00000000-0005-0000-0000-000095180000}"/>
    <cellStyle name="Heading 3 2 11 3" xfId="13634" xr:uid="{00000000-0005-0000-0000-000096180000}"/>
    <cellStyle name="Heading 3 2 11 3 2" xfId="28466" xr:uid="{00000000-0005-0000-0000-000097180000}"/>
    <cellStyle name="Heading 3 2 11 4" xfId="21071" xr:uid="{00000000-0005-0000-0000-000098180000}"/>
    <cellStyle name="Heading 3 2 12" xfId="5388" xr:uid="{00000000-0005-0000-0000-000099180000}"/>
    <cellStyle name="Heading 3 2 12 2" xfId="22149" xr:uid="{00000000-0005-0000-0000-00009A180000}"/>
    <cellStyle name="Heading 3 2 13" xfId="20253" xr:uid="{00000000-0005-0000-0000-00009B180000}"/>
    <cellStyle name="Heading 3 2 2" xfId="1068" xr:uid="{00000000-0005-0000-0000-00009C180000}"/>
    <cellStyle name="Heading 3 2 2 2" xfId="1455" xr:uid="{00000000-0005-0000-0000-00009D180000}"/>
    <cellStyle name="Heading 3 2 2 2 2" xfId="1956" xr:uid="{00000000-0005-0000-0000-00009E180000}"/>
    <cellStyle name="Heading 3 2 2 2 2 2" xfId="4286" xr:uid="{00000000-0005-0000-0000-00009F180000}"/>
    <cellStyle name="Heading 3 2 2 2 2 2 2" xfId="8325" xr:uid="{00000000-0005-0000-0000-0000A0180000}"/>
    <cellStyle name="Heading 3 2 2 2 2 2 2 2" xfId="17607" xr:uid="{00000000-0005-0000-0000-0000A1180000}"/>
    <cellStyle name="Heading 3 2 2 2 2 2 2 2 2" xfId="32439" xr:uid="{00000000-0005-0000-0000-0000A2180000}"/>
    <cellStyle name="Heading 3 2 2 2 2 2 2 3" xfId="24015" xr:uid="{00000000-0005-0000-0000-0000A3180000}"/>
    <cellStyle name="Heading 3 2 2 2 2 2 3" xfId="14618" xr:uid="{00000000-0005-0000-0000-0000A4180000}"/>
    <cellStyle name="Heading 3 2 2 2 2 2 3 2" xfId="29450" xr:uid="{00000000-0005-0000-0000-0000A5180000}"/>
    <cellStyle name="Heading 3 2 2 2 2 2 4" xfId="21613" xr:uid="{00000000-0005-0000-0000-0000A6180000}"/>
    <cellStyle name="Heading 3 2 2 2 2 3" xfId="6086" xr:uid="{00000000-0005-0000-0000-0000A7180000}"/>
    <cellStyle name="Heading 3 2 2 2 2 3 2" xfId="16273" xr:uid="{00000000-0005-0000-0000-0000A8180000}"/>
    <cellStyle name="Heading 3 2 2 2 2 3 2 2" xfId="31105" xr:uid="{00000000-0005-0000-0000-0000A9180000}"/>
    <cellStyle name="Heading 3 2 2 2 2 3 3" xfId="22619" xr:uid="{00000000-0005-0000-0000-0000AA180000}"/>
    <cellStyle name="Heading 3 2 2 2 2 4" xfId="12343" xr:uid="{00000000-0005-0000-0000-0000AB180000}"/>
    <cellStyle name="Heading 3 2 2 2 2 4 2" xfId="27175" xr:uid="{00000000-0005-0000-0000-0000AC180000}"/>
    <cellStyle name="Heading 3 2 2 2 2 5" xfId="20331" xr:uid="{00000000-0005-0000-0000-0000AD180000}"/>
    <cellStyle name="Heading 3 2 2 2 3" xfId="3468" xr:uid="{00000000-0005-0000-0000-0000AE180000}"/>
    <cellStyle name="Heading 3 2 2 2 3 2" xfId="7531" xr:uid="{00000000-0005-0000-0000-0000AF180000}"/>
    <cellStyle name="Heading 3 2 2 2 3 2 2" xfId="17203" xr:uid="{00000000-0005-0000-0000-0000B0180000}"/>
    <cellStyle name="Heading 3 2 2 2 3 2 2 2" xfId="32035" xr:uid="{00000000-0005-0000-0000-0000B1180000}"/>
    <cellStyle name="Heading 3 2 2 2 3 2 3" xfId="23498" xr:uid="{00000000-0005-0000-0000-0000B2180000}"/>
    <cellStyle name="Heading 3 2 2 2 3 3" xfId="13805" xr:uid="{00000000-0005-0000-0000-0000B3180000}"/>
    <cellStyle name="Heading 3 2 2 2 3 3 2" xfId="28637" xr:uid="{00000000-0005-0000-0000-0000B4180000}"/>
    <cellStyle name="Heading 3 2 2 2 3 4" xfId="21173" xr:uid="{00000000-0005-0000-0000-0000B5180000}"/>
    <cellStyle name="Heading 3 2 2 2 4" xfId="11872" xr:uid="{00000000-0005-0000-0000-0000B6180000}"/>
    <cellStyle name="Heading 3 2 2 2 4 2" xfId="26704" xr:uid="{00000000-0005-0000-0000-0000B7180000}"/>
    <cellStyle name="Heading 3 2 2 2 5" xfId="20270" xr:uid="{00000000-0005-0000-0000-0000B8180000}"/>
    <cellStyle name="Heading 3 2 2 3" xfId="1731" xr:uid="{00000000-0005-0000-0000-0000B9180000}"/>
    <cellStyle name="Heading 3 2 2 3 2" xfId="4269" xr:uid="{00000000-0005-0000-0000-0000BA180000}"/>
    <cellStyle name="Heading 3 2 2 3 2 2" xfId="8308" xr:uid="{00000000-0005-0000-0000-0000BB180000}"/>
    <cellStyle name="Heading 3 2 2 3 2 2 2" xfId="17595" xr:uid="{00000000-0005-0000-0000-0000BC180000}"/>
    <cellStyle name="Heading 3 2 2 3 2 2 2 2" xfId="32427" xr:uid="{00000000-0005-0000-0000-0000BD180000}"/>
    <cellStyle name="Heading 3 2 2 3 2 2 3" xfId="24002" xr:uid="{00000000-0005-0000-0000-0000BE180000}"/>
    <cellStyle name="Heading 3 2 2 3 2 3" xfId="14601" xr:uid="{00000000-0005-0000-0000-0000BF180000}"/>
    <cellStyle name="Heading 3 2 2 3 2 3 2" xfId="29433" xr:uid="{00000000-0005-0000-0000-0000C0180000}"/>
    <cellStyle name="Heading 3 2 2 3 2 4" xfId="21602" xr:uid="{00000000-0005-0000-0000-0000C1180000}"/>
    <cellStyle name="Heading 3 2 2 3 3" xfId="5863" xr:uid="{00000000-0005-0000-0000-0000C2180000}"/>
    <cellStyle name="Heading 3 2 2 3 3 2" xfId="16055" xr:uid="{00000000-0005-0000-0000-0000C3180000}"/>
    <cellStyle name="Heading 3 2 2 3 3 2 2" xfId="30887" xr:uid="{00000000-0005-0000-0000-0000C4180000}"/>
    <cellStyle name="Heading 3 2 2 3 3 3" xfId="22460" xr:uid="{00000000-0005-0000-0000-0000C5180000}"/>
    <cellStyle name="Heading 3 2 2 3 4" xfId="12125" xr:uid="{00000000-0005-0000-0000-0000C6180000}"/>
    <cellStyle name="Heading 3 2 2 3 4 2" xfId="26957" xr:uid="{00000000-0005-0000-0000-0000C7180000}"/>
    <cellStyle name="Heading 3 2 2 3 5" xfId="20284" xr:uid="{00000000-0005-0000-0000-0000C8180000}"/>
    <cellStyle name="Heading 3 2 2 4" xfId="3149" xr:uid="{00000000-0005-0000-0000-0000C9180000}"/>
    <cellStyle name="Heading 3 2 2 4 2" xfId="7213" xr:uid="{00000000-0005-0000-0000-0000CA180000}"/>
    <cellStyle name="Heading 3 2 2 4 2 2" xfId="16992" xr:uid="{00000000-0005-0000-0000-0000CB180000}"/>
    <cellStyle name="Heading 3 2 2 4 2 2 2" xfId="31824" xr:uid="{00000000-0005-0000-0000-0000CC180000}"/>
    <cellStyle name="Heading 3 2 2 4 2 3" xfId="23282" xr:uid="{00000000-0005-0000-0000-0000CD180000}"/>
    <cellStyle name="Heading 3 2 2 4 3" xfId="13487" xr:uid="{00000000-0005-0000-0000-0000CE180000}"/>
    <cellStyle name="Heading 3 2 2 4 3 2" xfId="28319" xr:uid="{00000000-0005-0000-0000-0000CF180000}"/>
    <cellStyle name="Heading 3 2 2 4 4" xfId="20973" xr:uid="{00000000-0005-0000-0000-0000D0180000}"/>
    <cellStyle name="Heading 3 2 2 5" xfId="5387" xr:uid="{00000000-0005-0000-0000-0000D1180000}"/>
    <cellStyle name="Heading 3 2 2 5 2" xfId="22148" xr:uid="{00000000-0005-0000-0000-0000D2180000}"/>
    <cellStyle name="Heading 3 2 2 6" xfId="20254" xr:uid="{00000000-0005-0000-0000-0000D3180000}"/>
    <cellStyle name="Heading 3 2 3" xfId="1069" xr:uid="{00000000-0005-0000-0000-0000D4180000}"/>
    <cellStyle name="Heading 3 2 3 2" xfId="1456" xr:uid="{00000000-0005-0000-0000-0000D5180000}"/>
    <cellStyle name="Heading 3 2 3 2 2" xfId="1957" xr:uid="{00000000-0005-0000-0000-0000D6180000}"/>
    <cellStyle name="Heading 3 2 3 2 2 2" xfId="3311" xr:uid="{00000000-0005-0000-0000-0000D7180000}"/>
    <cellStyle name="Heading 3 2 3 2 2 2 2" xfId="7375" xr:uid="{00000000-0005-0000-0000-0000D8180000}"/>
    <cellStyle name="Heading 3 2 3 2 2 2 2 2" xfId="17110" xr:uid="{00000000-0005-0000-0000-0000D9180000}"/>
    <cellStyle name="Heading 3 2 3 2 2 2 2 2 2" xfId="31942" xr:uid="{00000000-0005-0000-0000-0000DA180000}"/>
    <cellStyle name="Heading 3 2 3 2 2 2 2 3" xfId="23393" xr:uid="{00000000-0005-0000-0000-0000DB180000}"/>
    <cellStyle name="Heading 3 2 3 2 2 2 3" xfId="13648" xr:uid="{00000000-0005-0000-0000-0000DC180000}"/>
    <cellStyle name="Heading 3 2 3 2 2 2 3 2" xfId="28480" xr:uid="{00000000-0005-0000-0000-0000DD180000}"/>
    <cellStyle name="Heading 3 2 3 2 2 2 4" xfId="21080" xr:uid="{00000000-0005-0000-0000-0000DE180000}"/>
    <cellStyle name="Heading 3 2 3 2 2 3" xfId="6087" xr:uid="{00000000-0005-0000-0000-0000DF180000}"/>
    <cellStyle name="Heading 3 2 3 2 2 3 2" xfId="16274" xr:uid="{00000000-0005-0000-0000-0000E0180000}"/>
    <cellStyle name="Heading 3 2 3 2 2 3 2 2" xfId="31106" xr:uid="{00000000-0005-0000-0000-0000E1180000}"/>
    <cellStyle name="Heading 3 2 3 2 2 3 3" xfId="22620" xr:uid="{00000000-0005-0000-0000-0000E2180000}"/>
    <cellStyle name="Heading 3 2 3 2 2 4" xfId="12344" xr:uid="{00000000-0005-0000-0000-0000E3180000}"/>
    <cellStyle name="Heading 3 2 3 2 2 4 2" xfId="27176" xr:uid="{00000000-0005-0000-0000-0000E4180000}"/>
    <cellStyle name="Heading 3 2 3 2 2 5" xfId="20332" xr:uid="{00000000-0005-0000-0000-0000E5180000}"/>
    <cellStyle name="Heading 3 2 3 2 3" xfId="3623" xr:uid="{00000000-0005-0000-0000-0000E6180000}"/>
    <cellStyle name="Heading 3 2 3 2 3 2" xfId="7683" xr:uid="{00000000-0005-0000-0000-0000E7180000}"/>
    <cellStyle name="Heading 3 2 3 2 3 2 2" xfId="17285" xr:uid="{00000000-0005-0000-0000-0000E8180000}"/>
    <cellStyle name="Heading 3 2 3 2 3 2 2 2" xfId="32117" xr:uid="{00000000-0005-0000-0000-0000E9180000}"/>
    <cellStyle name="Heading 3 2 3 2 3 2 3" xfId="23592" xr:uid="{00000000-0005-0000-0000-0000EA180000}"/>
    <cellStyle name="Heading 3 2 3 2 3 3" xfId="13958" xr:uid="{00000000-0005-0000-0000-0000EB180000}"/>
    <cellStyle name="Heading 3 2 3 2 3 3 2" xfId="28790" xr:uid="{00000000-0005-0000-0000-0000EC180000}"/>
    <cellStyle name="Heading 3 2 3 2 3 4" xfId="21256" xr:uid="{00000000-0005-0000-0000-0000ED180000}"/>
    <cellStyle name="Heading 3 2 3 2 4" xfId="11873" xr:uid="{00000000-0005-0000-0000-0000EE180000}"/>
    <cellStyle name="Heading 3 2 3 2 4 2" xfId="26705" xr:uid="{00000000-0005-0000-0000-0000EF180000}"/>
    <cellStyle name="Heading 3 2 3 2 5" xfId="20271" xr:uid="{00000000-0005-0000-0000-0000F0180000}"/>
    <cellStyle name="Heading 3 2 3 3" xfId="1732" xr:uid="{00000000-0005-0000-0000-0000F1180000}"/>
    <cellStyle name="Heading 3 2 3 3 2" xfId="3214" xr:uid="{00000000-0005-0000-0000-0000F2180000}"/>
    <cellStyle name="Heading 3 2 3 3 2 2" xfId="7278" xr:uid="{00000000-0005-0000-0000-0000F3180000}"/>
    <cellStyle name="Heading 3 2 3 3 2 2 2" xfId="17044" xr:uid="{00000000-0005-0000-0000-0000F4180000}"/>
    <cellStyle name="Heading 3 2 3 3 2 2 2 2" xfId="31876" xr:uid="{00000000-0005-0000-0000-0000F5180000}"/>
    <cellStyle name="Heading 3 2 3 3 2 2 3" xfId="23323" xr:uid="{00000000-0005-0000-0000-0000F6180000}"/>
    <cellStyle name="Heading 3 2 3 3 2 3" xfId="13552" xr:uid="{00000000-0005-0000-0000-0000F7180000}"/>
    <cellStyle name="Heading 3 2 3 3 2 3 2" xfId="28384" xr:uid="{00000000-0005-0000-0000-0000F8180000}"/>
    <cellStyle name="Heading 3 2 3 3 2 4" xfId="21013" xr:uid="{00000000-0005-0000-0000-0000F9180000}"/>
    <cellStyle name="Heading 3 2 3 3 3" xfId="5864" xr:uid="{00000000-0005-0000-0000-0000FA180000}"/>
    <cellStyle name="Heading 3 2 3 3 3 2" xfId="16056" xr:uid="{00000000-0005-0000-0000-0000FB180000}"/>
    <cellStyle name="Heading 3 2 3 3 3 2 2" xfId="30888" xr:uid="{00000000-0005-0000-0000-0000FC180000}"/>
    <cellStyle name="Heading 3 2 3 3 3 3" xfId="22461" xr:uid="{00000000-0005-0000-0000-0000FD180000}"/>
    <cellStyle name="Heading 3 2 3 3 4" xfId="12126" xr:uid="{00000000-0005-0000-0000-0000FE180000}"/>
    <cellStyle name="Heading 3 2 3 3 4 2" xfId="26958" xr:uid="{00000000-0005-0000-0000-0000FF180000}"/>
    <cellStyle name="Heading 3 2 3 3 5" xfId="20285" xr:uid="{00000000-0005-0000-0000-000000190000}"/>
    <cellStyle name="Heading 3 2 3 4" xfId="3265" xr:uid="{00000000-0005-0000-0000-000001190000}"/>
    <cellStyle name="Heading 3 2 3 4 2" xfId="7329" xr:uid="{00000000-0005-0000-0000-000002190000}"/>
    <cellStyle name="Heading 3 2 3 4 2 2" xfId="17074" xr:uid="{00000000-0005-0000-0000-000003190000}"/>
    <cellStyle name="Heading 3 2 3 4 2 2 2" xfId="31906" xr:uid="{00000000-0005-0000-0000-000004190000}"/>
    <cellStyle name="Heading 3 2 3 4 2 3" xfId="23363" xr:uid="{00000000-0005-0000-0000-000005190000}"/>
    <cellStyle name="Heading 3 2 3 4 3" xfId="13602" xr:uid="{00000000-0005-0000-0000-000006190000}"/>
    <cellStyle name="Heading 3 2 3 4 3 2" xfId="28434" xr:uid="{00000000-0005-0000-0000-000007190000}"/>
    <cellStyle name="Heading 3 2 3 4 4" xfId="21050" xr:uid="{00000000-0005-0000-0000-000008190000}"/>
    <cellStyle name="Heading 3 2 3 5" xfId="5386" xr:uid="{00000000-0005-0000-0000-000009190000}"/>
    <cellStyle name="Heading 3 2 3 5 2" xfId="22147" xr:uid="{00000000-0005-0000-0000-00000A190000}"/>
    <cellStyle name="Heading 3 2 3 6" xfId="20255" xr:uid="{00000000-0005-0000-0000-00000B190000}"/>
    <cellStyle name="Heading 3 2 4" xfId="1070" xr:uid="{00000000-0005-0000-0000-00000C190000}"/>
    <cellStyle name="Heading 3 2 4 2" xfId="1457" xr:uid="{00000000-0005-0000-0000-00000D190000}"/>
    <cellStyle name="Heading 3 2 4 2 2" xfId="1958" xr:uid="{00000000-0005-0000-0000-00000E190000}"/>
    <cellStyle name="Heading 3 2 4 2 2 2" xfId="3190" xr:uid="{00000000-0005-0000-0000-00000F190000}"/>
    <cellStyle name="Heading 3 2 4 2 2 2 2" xfId="7254" xr:uid="{00000000-0005-0000-0000-000010190000}"/>
    <cellStyle name="Heading 3 2 4 2 2 2 2 2" xfId="17024" xr:uid="{00000000-0005-0000-0000-000011190000}"/>
    <cellStyle name="Heading 3 2 4 2 2 2 2 2 2" xfId="31856" xr:uid="{00000000-0005-0000-0000-000012190000}"/>
    <cellStyle name="Heading 3 2 4 2 2 2 2 3" xfId="23308" xr:uid="{00000000-0005-0000-0000-000013190000}"/>
    <cellStyle name="Heading 3 2 4 2 2 2 3" xfId="13528" xr:uid="{00000000-0005-0000-0000-000014190000}"/>
    <cellStyle name="Heading 3 2 4 2 2 2 3 2" xfId="28360" xr:uid="{00000000-0005-0000-0000-000015190000}"/>
    <cellStyle name="Heading 3 2 4 2 2 2 4" xfId="20998" xr:uid="{00000000-0005-0000-0000-000016190000}"/>
    <cellStyle name="Heading 3 2 4 2 2 3" xfId="6088" xr:uid="{00000000-0005-0000-0000-000017190000}"/>
    <cellStyle name="Heading 3 2 4 2 2 3 2" xfId="16275" xr:uid="{00000000-0005-0000-0000-000018190000}"/>
    <cellStyle name="Heading 3 2 4 2 2 3 2 2" xfId="31107" xr:uid="{00000000-0005-0000-0000-000019190000}"/>
    <cellStyle name="Heading 3 2 4 2 2 3 3" xfId="22621" xr:uid="{00000000-0005-0000-0000-00001A190000}"/>
    <cellStyle name="Heading 3 2 4 2 2 4" xfId="12345" xr:uid="{00000000-0005-0000-0000-00001B190000}"/>
    <cellStyle name="Heading 3 2 4 2 2 4 2" xfId="27177" xr:uid="{00000000-0005-0000-0000-00001C190000}"/>
    <cellStyle name="Heading 3 2 4 2 2 5" xfId="20333" xr:uid="{00000000-0005-0000-0000-00001D190000}"/>
    <cellStyle name="Heading 3 2 4 2 3" xfId="3920" xr:uid="{00000000-0005-0000-0000-00001E190000}"/>
    <cellStyle name="Heading 3 2 4 2 3 2" xfId="7971" xr:uid="{00000000-0005-0000-0000-00001F190000}"/>
    <cellStyle name="Heading 3 2 4 2 3 2 2" xfId="17431" xr:uid="{00000000-0005-0000-0000-000020190000}"/>
    <cellStyle name="Heading 3 2 4 2 3 2 2 2" xfId="32263" xr:uid="{00000000-0005-0000-0000-000021190000}"/>
    <cellStyle name="Heading 3 2 4 2 3 2 3" xfId="23779" xr:uid="{00000000-0005-0000-0000-000022190000}"/>
    <cellStyle name="Heading 3 2 4 2 3 3" xfId="14253" xr:uid="{00000000-0005-0000-0000-000023190000}"/>
    <cellStyle name="Heading 3 2 4 2 3 3 2" xfId="29085" xr:uid="{00000000-0005-0000-0000-000024190000}"/>
    <cellStyle name="Heading 3 2 4 2 3 4" xfId="21420" xr:uid="{00000000-0005-0000-0000-000025190000}"/>
    <cellStyle name="Heading 3 2 4 2 4" xfId="11874" xr:uid="{00000000-0005-0000-0000-000026190000}"/>
    <cellStyle name="Heading 3 2 4 2 4 2" xfId="26706" xr:uid="{00000000-0005-0000-0000-000027190000}"/>
    <cellStyle name="Heading 3 2 4 2 5" xfId="20272" xr:uid="{00000000-0005-0000-0000-000028190000}"/>
    <cellStyle name="Heading 3 2 4 3" xfId="1733" xr:uid="{00000000-0005-0000-0000-000029190000}"/>
    <cellStyle name="Heading 3 2 4 3 2" xfId="4289" xr:uid="{00000000-0005-0000-0000-00002A190000}"/>
    <cellStyle name="Heading 3 2 4 3 2 2" xfId="8328" xr:uid="{00000000-0005-0000-0000-00002B190000}"/>
    <cellStyle name="Heading 3 2 4 3 2 2 2" xfId="17610" xr:uid="{00000000-0005-0000-0000-00002C190000}"/>
    <cellStyle name="Heading 3 2 4 3 2 2 2 2" xfId="32442" xr:uid="{00000000-0005-0000-0000-00002D190000}"/>
    <cellStyle name="Heading 3 2 4 3 2 2 3" xfId="24016" xr:uid="{00000000-0005-0000-0000-00002E190000}"/>
    <cellStyle name="Heading 3 2 4 3 2 3" xfId="14621" xr:uid="{00000000-0005-0000-0000-00002F190000}"/>
    <cellStyle name="Heading 3 2 4 3 2 3 2" xfId="29453" xr:uid="{00000000-0005-0000-0000-000030190000}"/>
    <cellStyle name="Heading 3 2 4 3 2 4" xfId="21614" xr:uid="{00000000-0005-0000-0000-000031190000}"/>
    <cellStyle name="Heading 3 2 4 3 3" xfId="5865" xr:uid="{00000000-0005-0000-0000-000032190000}"/>
    <cellStyle name="Heading 3 2 4 3 3 2" xfId="16057" xr:uid="{00000000-0005-0000-0000-000033190000}"/>
    <cellStyle name="Heading 3 2 4 3 3 2 2" xfId="30889" xr:uid="{00000000-0005-0000-0000-000034190000}"/>
    <cellStyle name="Heading 3 2 4 3 3 3" xfId="22462" xr:uid="{00000000-0005-0000-0000-000035190000}"/>
    <cellStyle name="Heading 3 2 4 3 4" xfId="12127" xr:uid="{00000000-0005-0000-0000-000036190000}"/>
    <cellStyle name="Heading 3 2 4 3 4 2" xfId="26959" xr:uid="{00000000-0005-0000-0000-000037190000}"/>
    <cellStyle name="Heading 3 2 4 3 5" xfId="20286" xr:uid="{00000000-0005-0000-0000-000038190000}"/>
    <cellStyle name="Heading 3 2 4 4" xfId="3196" xr:uid="{00000000-0005-0000-0000-000039190000}"/>
    <cellStyle name="Heading 3 2 4 4 2" xfId="7260" xr:uid="{00000000-0005-0000-0000-00003A190000}"/>
    <cellStyle name="Heading 3 2 4 4 2 2" xfId="17029" xr:uid="{00000000-0005-0000-0000-00003B190000}"/>
    <cellStyle name="Heading 3 2 4 4 2 2 2" xfId="31861" xr:uid="{00000000-0005-0000-0000-00003C190000}"/>
    <cellStyle name="Heading 3 2 4 4 2 3" xfId="23312" xr:uid="{00000000-0005-0000-0000-00003D190000}"/>
    <cellStyle name="Heading 3 2 4 4 3" xfId="13534" xr:uid="{00000000-0005-0000-0000-00003E190000}"/>
    <cellStyle name="Heading 3 2 4 4 3 2" xfId="28366" xr:uid="{00000000-0005-0000-0000-00003F190000}"/>
    <cellStyle name="Heading 3 2 4 4 4" xfId="21002" xr:uid="{00000000-0005-0000-0000-000040190000}"/>
    <cellStyle name="Heading 3 2 4 5" xfId="5385" xr:uid="{00000000-0005-0000-0000-000041190000}"/>
    <cellStyle name="Heading 3 2 4 5 2" xfId="22146" xr:uid="{00000000-0005-0000-0000-000042190000}"/>
    <cellStyle name="Heading 3 2 4 6" xfId="20256" xr:uid="{00000000-0005-0000-0000-000043190000}"/>
    <cellStyle name="Heading 3 2 5" xfId="1071" xr:uid="{00000000-0005-0000-0000-000044190000}"/>
    <cellStyle name="Heading 3 2 5 2" xfId="1458" xr:uid="{00000000-0005-0000-0000-000045190000}"/>
    <cellStyle name="Heading 3 2 5 2 2" xfId="1959" xr:uid="{00000000-0005-0000-0000-000046190000}"/>
    <cellStyle name="Heading 3 2 5 2 2 2" xfId="3340" xr:uid="{00000000-0005-0000-0000-000047190000}"/>
    <cellStyle name="Heading 3 2 5 2 2 2 2" xfId="7403" xr:uid="{00000000-0005-0000-0000-000048190000}"/>
    <cellStyle name="Heading 3 2 5 2 2 2 2 2" xfId="17133" xr:uid="{00000000-0005-0000-0000-000049190000}"/>
    <cellStyle name="Heading 3 2 5 2 2 2 2 2 2" xfId="31965" xr:uid="{00000000-0005-0000-0000-00004A190000}"/>
    <cellStyle name="Heading 3 2 5 2 2 2 2 3" xfId="23408" xr:uid="{00000000-0005-0000-0000-00004B190000}"/>
    <cellStyle name="Heading 3 2 5 2 2 2 3" xfId="13677" xr:uid="{00000000-0005-0000-0000-00004C190000}"/>
    <cellStyle name="Heading 3 2 5 2 2 2 3 2" xfId="28509" xr:uid="{00000000-0005-0000-0000-00004D190000}"/>
    <cellStyle name="Heading 3 2 5 2 2 2 4" xfId="21095" xr:uid="{00000000-0005-0000-0000-00004E190000}"/>
    <cellStyle name="Heading 3 2 5 2 2 3" xfId="6089" xr:uid="{00000000-0005-0000-0000-00004F190000}"/>
    <cellStyle name="Heading 3 2 5 2 2 3 2" xfId="16276" xr:uid="{00000000-0005-0000-0000-000050190000}"/>
    <cellStyle name="Heading 3 2 5 2 2 3 2 2" xfId="31108" xr:uid="{00000000-0005-0000-0000-000051190000}"/>
    <cellStyle name="Heading 3 2 5 2 2 3 3" xfId="22622" xr:uid="{00000000-0005-0000-0000-000052190000}"/>
    <cellStyle name="Heading 3 2 5 2 2 4" xfId="12346" xr:uid="{00000000-0005-0000-0000-000053190000}"/>
    <cellStyle name="Heading 3 2 5 2 2 4 2" xfId="27178" xr:uid="{00000000-0005-0000-0000-000054190000}"/>
    <cellStyle name="Heading 3 2 5 2 2 5" xfId="20334" xr:uid="{00000000-0005-0000-0000-000055190000}"/>
    <cellStyle name="Heading 3 2 5 2 3" xfId="3719" xr:uid="{00000000-0005-0000-0000-000056190000}"/>
    <cellStyle name="Heading 3 2 5 2 3 2" xfId="7775" xr:uid="{00000000-0005-0000-0000-000057190000}"/>
    <cellStyle name="Heading 3 2 5 2 3 2 2" xfId="17332" xr:uid="{00000000-0005-0000-0000-000058190000}"/>
    <cellStyle name="Heading 3 2 5 2 3 2 2 2" xfId="32164" xr:uid="{00000000-0005-0000-0000-000059190000}"/>
    <cellStyle name="Heading 3 2 5 2 3 2 3" xfId="23656" xr:uid="{00000000-0005-0000-0000-00005A190000}"/>
    <cellStyle name="Heading 3 2 5 2 3 3" xfId="14054" xr:uid="{00000000-0005-0000-0000-00005B190000}"/>
    <cellStyle name="Heading 3 2 5 2 3 3 2" xfId="28886" xr:uid="{00000000-0005-0000-0000-00005C190000}"/>
    <cellStyle name="Heading 3 2 5 2 3 4" xfId="21316" xr:uid="{00000000-0005-0000-0000-00005D190000}"/>
    <cellStyle name="Heading 3 2 5 2 4" xfId="11875" xr:uid="{00000000-0005-0000-0000-00005E190000}"/>
    <cellStyle name="Heading 3 2 5 2 4 2" xfId="26707" xr:uid="{00000000-0005-0000-0000-00005F190000}"/>
    <cellStyle name="Heading 3 2 5 2 5" xfId="20273" xr:uid="{00000000-0005-0000-0000-000060190000}"/>
    <cellStyle name="Heading 3 2 5 3" xfId="1734" xr:uid="{00000000-0005-0000-0000-000061190000}"/>
    <cellStyle name="Heading 3 2 5 3 2" xfId="3342" xr:uid="{00000000-0005-0000-0000-000062190000}"/>
    <cellStyle name="Heading 3 2 5 3 2 2" xfId="7405" xr:uid="{00000000-0005-0000-0000-000063190000}"/>
    <cellStyle name="Heading 3 2 5 3 2 2 2" xfId="17134" xr:uid="{00000000-0005-0000-0000-000064190000}"/>
    <cellStyle name="Heading 3 2 5 3 2 2 2 2" xfId="31966" xr:uid="{00000000-0005-0000-0000-000065190000}"/>
    <cellStyle name="Heading 3 2 5 3 2 2 3" xfId="23410" xr:uid="{00000000-0005-0000-0000-000066190000}"/>
    <cellStyle name="Heading 3 2 5 3 2 3" xfId="13679" xr:uid="{00000000-0005-0000-0000-000067190000}"/>
    <cellStyle name="Heading 3 2 5 3 2 3 2" xfId="28511" xr:uid="{00000000-0005-0000-0000-000068190000}"/>
    <cellStyle name="Heading 3 2 5 3 2 4" xfId="21097" xr:uid="{00000000-0005-0000-0000-000069190000}"/>
    <cellStyle name="Heading 3 2 5 3 3" xfId="5866" xr:uid="{00000000-0005-0000-0000-00006A190000}"/>
    <cellStyle name="Heading 3 2 5 3 3 2" xfId="16058" xr:uid="{00000000-0005-0000-0000-00006B190000}"/>
    <cellStyle name="Heading 3 2 5 3 3 2 2" xfId="30890" xr:uid="{00000000-0005-0000-0000-00006C190000}"/>
    <cellStyle name="Heading 3 2 5 3 3 3" xfId="22463" xr:uid="{00000000-0005-0000-0000-00006D190000}"/>
    <cellStyle name="Heading 3 2 5 3 4" xfId="12128" xr:uid="{00000000-0005-0000-0000-00006E190000}"/>
    <cellStyle name="Heading 3 2 5 3 4 2" xfId="26960" xr:uid="{00000000-0005-0000-0000-00006F190000}"/>
    <cellStyle name="Heading 3 2 5 3 5" xfId="20287" xr:uid="{00000000-0005-0000-0000-000070190000}"/>
    <cellStyle name="Heading 3 2 5 4" xfId="3318" xr:uid="{00000000-0005-0000-0000-000071190000}"/>
    <cellStyle name="Heading 3 2 5 4 2" xfId="7381" xr:uid="{00000000-0005-0000-0000-000072190000}"/>
    <cellStyle name="Heading 3 2 5 4 2 2" xfId="17115" xr:uid="{00000000-0005-0000-0000-000073190000}"/>
    <cellStyle name="Heading 3 2 5 4 2 2 2" xfId="31947" xr:uid="{00000000-0005-0000-0000-000074190000}"/>
    <cellStyle name="Heading 3 2 5 4 2 3" xfId="23396" xr:uid="{00000000-0005-0000-0000-000075190000}"/>
    <cellStyle name="Heading 3 2 5 4 3" xfId="13655" xr:uid="{00000000-0005-0000-0000-000076190000}"/>
    <cellStyle name="Heading 3 2 5 4 3 2" xfId="28487" xr:uid="{00000000-0005-0000-0000-000077190000}"/>
    <cellStyle name="Heading 3 2 5 4 4" xfId="21084" xr:uid="{00000000-0005-0000-0000-000078190000}"/>
    <cellStyle name="Heading 3 2 5 5" xfId="5384" xr:uid="{00000000-0005-0000-0000-000079190000}"/>
    <cellStyle name="Heading 3 2 5 5 2" xfId="22145" xr:uid="{00000000-0005-0000-0000-00007A190000}"/>
    <cellStyle name="Heading 3 2 5 6" xfId="20257" xr:uid="{00000000-0005-0000-0000-00007B190000}"/>
    <cellStyle name="Heading 3 2 6" xfId="1072" xr:uid="{00000000-0005-0000-0000-00007C190000}"/>
    <cellStyle name="Heading 3 2 6 2" xfId="1459" xr:uid="{00000000-0005-0000-0000-00007D190000}"/>
    <cellStyle name="Heading 3 2 6 2 2" xfId="1960" xr:uid="{00000000-0005-0000-0000-00007E190000}"/>
    <cellStyle name="Heading 3 2 6 2 2 2" xfId="3308" xr:uid="{00000000-0005-0000-0000-00007F190000}"/>
    <cellStyle name="Heading 3 2 6 2 2 2 2" xfId="7372" xr:uid="{00000000-0005-0000-0000-000080190000}"/>
    <cellStyle name="Heading 3 2 6 2 2 2 2 2" xfId="17108" xr:uid="{00000000-0005-0000-0000-000081190000}"/>
    <cellStyle name="Heading 3 2 6 2 2 2 2 2 2" xfId="31940" xr:uid="{00000000-0005-0000-0000-000082190000}"/>
    <cellStyle name="Heading 3 2 6 2 2 2 2 3" xfId="23391" xr:uid="{00000000-0005-0000-0000-000083190000}"/>
    <cellStyle name="Heading 3 2 6 2 2 2 3" xfId="13645" xr:uid="{00000000-0005-0000-0000-000084190000}"/>
    <cellStyle name="Heading 3 2 6 2 2 2 3 2" xfId="28477" xr:uid="{00000000-0005-0000-0000-000085190000}"/>
    <cellStyle name="Heading 3 2 6 2 2 2 4" xfId="21078" xr:uid="{00000000-0005-0000-0000-000086190000}"/>
    <cellStyle name="Heading 3 2 6 2 2 3" xfId="6090" xr:uid="{00000000-0005-0000-0000-000087190000}"/>
    <cellStyle name="Heading 3 2 6 2 2 3 2" xfId="16277" xr:uid="{00000000-0005-0000-0000-000088190000}"/>
    <cellStyle name="Heading 3 2 6 2 2 3 2 2" xfId="31109" xr:uid="{00000000-0005-0000-0000-000089190000}"/>
    <cellStyle name="Heading 3 2 6 2 2 3 3" xfId="22623" xr:uid="{00000000-0005-0000-0000-00008A190000}"/>
    <cellStyle name="Heading 3 2 6 2 2 4" xfId="12347" xr:uid="{00000000-0005-0000-0000-00008B190000}"/>
    <cellStyle name="Heading 3 2 6 2 2 4 2" xfId="27179" xr:uid="{00000000-0005-0000-0000-00008C190000}"/>
    <cellStyle name="Heading 3 2 6 2 2 5" xfId="20335" xr:uid="{00000000-0005-0000-0000-00008D190000}"/>
    <cellStyle name="Heading 3 2 6 2 3" xfId="4306" xr:uid="{00000000-0005-0000-0000-00008E190000}"/>
    <cellStyle name="Heading 3 2 6 2 3 2" xfId="8345" xr:uid="{00000000-0005-0000-0000-00008F190000}"/>
    <cellStyle name="Heading 3 2 6 2 3 2 2" xfId="17624" xr:uid="{00000000-0005-0000-0000-000090190000}"/>
    <cellStyle name="Heading 3 2 6 2 3 2 2 2" xfId="32456" xr:uid="{00000000-0005-0000-0000-000091190000}"/>
    <cellStyle name="Heading 3 2 6 2 3 2 3" xfId="24027" xr:uid="{00000000-0005-0000-0000-000092190000}"/>
    <cellStyle name="Heading 3 2 6 2 3 3" xfId="14637" xr:uid="{00000000-0005-0000-0000-000093190000}"/>
    <cellStyle name="Heading 3 2 6 2 3 3 2" xfId="29469" xr:uid="{00000000-0005-0000-0000-000094190000}"/>
    <cellStyle name="Heading 3 2 6 2 3 4" xfId="21624" xr:uid="{00000000-0005-0000-0000-000095190000}"/>
    <cellStyle name="Heading 3 2 6 2 4" xfId="11876" xr:uid="{00000000-0005-0000-0000-000096190000}"/>
    <cellStyle name="Heading 3 2 6 2 4 2" xfId="26708" xr:uid="{00000000-0005-0000-0000-000097190000}"/>
    <cellStyle name="Heading 3 2 6 2 5" xfId="20274" xr:uid="{00000000-0005-0000-0000-000098190000}"/>
    <cellStyle name="Heading 3 2 6 3" xfId="1735" xr:uid="{00000000-0005-0000-0000-000099190000}"/>
    <cellStyle name="Heading 3 2 6 3 2" xfId="3313" xr:uid="{00000000-0005-0000-0000-00009A190000}"/>
    <cellStyle name="Heading 3 2 6 3 2 2" xfId="7376" xr:uid="{00000000-0005-0000-0000-00009B190000}"/>
    <cellStyle name="Heading 3 2 6 3 2 2 2" xfId="17111" xr:uid="{00000000-0005-0000-0000-00009C190000}"/>
    <cellStyle name="Heading 3 2 6 3 2 2 2 2" xfId="31943" xr:uid="{00000000-0005-0000-0000-00009D190000}"/>
    <cellStyle name="Heading 3 2 6 3 2 2 3" xfId="23394" xr:uid="{00000000-0005-0000-0000-00009E190000}"/>
    <cellStyle name="Heading 3 2 6 3 2 3" xfId="13650" xr:uid="{00000000-0005-0000-0000-00009F190000}"/>
    <cellStyle name="Heading 3 2 6 3 2 3 2" xfId="28482" xr:uid="{00000000-0005-0000-0000-0000A0190000}"/>
    <cellStyle name="Heading 3 2 6 3 2 4" xfId="21082" xr:uid="{00000000-0005-0000-0000-0000A1190000}"/>
    <cellStyle name="Heading 3 2 6 3 3" xfId="5867" xr:uid="{00000000-0005-0000-0000-0000A2190000}"/>
    <cellStyle name="Heading 3 2 6 3 3 2" xfId="16059" xr:uid="{00000000-0005-0000-0000-0000A3190000}"/>
    <cellStyle name="Heading 3 2 6 3 3 2 2" xfId="30891" xr:uid="{00000000-0005-0000-0000-0000A4190000}"/>
    <cellStyle name="Heading 3 2 6 3 3 3" xfId="22464" xr:uid="{00000000-0005-0000-0000-0000A5190000}"/>
    <cellStyle name="Heading 3 2 6 3 4" xfId="12129" xr:uid="{00000000-0005-0000-0000-0000A6190000}"/>
    <cellStyle name="Heading 3 2 6 3 4 2" xfId="26961" xr:uid="{00000000-0005-0000-0000-0000A7190000}"/>
    <cellStyle name="Heading 3 2 6 3 5" xfId="20288" xr:uid="{00000000-0005-0000-0000-0000A8190000}"/>
    <cellStyle name="Heading 3 2 6 4" xfId="3858" xr:uid="{00000000-0005-0000-0000-0000A9190000}"/>
    <cellStyle name="Heading 3 2 6 4 2" xfId="7910" xr:uid="{00000000-0005-0000-0000-0000AA190000}"/>
    <cellStyle name="Heading 3 2 6 4 2 2" xfId="17395" xr:uid="{00000000-0005-0000-0000-0000AB190000}"/>
    <cellStyle name="Heading 3 2 6 4 2 2 2" xfId="32227" xr:uid="{00000000-0005-0000-0000-0000AC190000}"/>
    <cellStyle name="Heading 3 2 6 4 2 3" xfId="23746" xr:uid="{00000000-0005-0000-0000-0000AD190000}"/>
    <cellStyle name="Heading 3 2 6 4 3" xfId="14193" xr:uid="{00000000-0005-0000-0000-0000AE190000}"/>
    <cellStyle name="Heading 3 2 6 4 3 2" xfId="29025" xr:uid="{00000000-0005-0000-0000-0000AF190000}"/>
    <cellStyle name="Heading 3 2 6 4 4" xfId="21388" xr:uid="{00000000-0005-0000-0000-0000B0190000}"/>
    <cellStyle name="Heading 3 2 6 5" xfId="5383" xr:uid="{00000000-0005-0000-0000-0000B1190000}"/>
    <cellStyle name="Heading 3 2 6 5 2" xfId="22144" xr:uid="{00000000-0005-0000-0000-0000B2190000}"/>
    <cellStyle name="Heading 3 2 6 6" xfId="20258" xr:uid="{00000000-0005-0000-0000-0000B3190000}"/>
    <cellStyle name="Heading 3 2 7" xfId="1073" xr:uid="{00000000-0005-0000-0000-0000B4190000}"/>
    <cellStyle name="Heading 3 2 7 2" xfId="1460" xr:uid="{00000000-0005-0000-0000-0000B5190000}"/>
    <cellStyle name="Heading 3 2 7 2 2" xfId="1961" xr:uid="{00000000-0005-0000-0000-0000B6190000}"/>
    <cellStyle name="Heading 3 2 7 2 2 2" xfId="3188" xr:uid="{00000000-0005-0000-0000-0000B7190000}"/>
    <cellStyle name="Heading 3 2 7 2 2 2 2" xfId="7252" xr:uid="{00000000-0005-0000-0000-0000B8190000}"/>
    <cellStyle name="Heading 3 2 7 2 2 2 2 2" xfId="17022" xr:uid="{00000000-0005-0000-0000-0000B9190000}"/>
    <cellStyle name="Heading 3 2 7 2 2 2 2 2 2" xfId="31854" xr:uid="{00000000-0005-0000-0000-0000BA190000}"/>
    <cellStyle name="Heading 3 2 7 2 2 2 2 3" xfId="23307" xr:uid="{00000000-0005-0000-0000-0000BB190000}"/>
    <cellStyle name="Heading 3 2 7 2 2 2 3" xfId="13526" xr:uid="{00000000-0005-0000-0000-0000BC190000}"/>
    <cellStyle name="Heading 3 2 7 2 2 2 3 2" xfId="28358" xr:uid="{00000000-0005-0000-0000-0000BD190000}"/>
    <cellStyle name="Heading 3 2 7 2 2 2 4" xfId="20997" xr:uid="{00000000-0005-0000-0000-0000BE190000}"/>
    <cellStyle name="Heading 3 2 7 2 2 3" xfId="6091" xr:uid="{00000000-0005-0000-0000-0000BF190000}"/>
    <cellStyle name="Heading 3 2 7 2 2 3 2" xfId="16278" xr:uid="{00000000-0005-0000-0000-0000C0190000}"/>
    <cellStyle name="Heading 3 2 7 2 2 3 2 2" xfId="31110" xr:uid="{00000000-0005-0000-0000-0000C1190000}"/>
    <cellStyle name="Heading 3 2 7 2 2 3 3" xfId="22624" xr:uid="{00000000-0005-0000-0000-0000C2190000}"/>
    <cellStyle name="Heading 3 2 7 2 2 4" xfId="12348" xr:uid="{00000000-0005-0000-0000-0000C3190000}"/>
    <cellStyle name="Heading 3 2 7 2 2 4 2" xfId="27180" xr:uid="{00000000-0005-0000-0000-0000C4190000}"/>
    <cellStyle name="Heading 3 2 7 2 2 5" xfId="20336" xr:uid="{00000000-0005-0000-0000-0000C5190000}"/>
    <cellStyle name="Heading 3 2 7 2 3" xfId="4308" xr:uid="{00000000-0005-0000-0000-0000C6190000}"/>
    <cellStyle name="Heading 3 2 7 2 3 2" xfId="8347" xr:uid="{00000000-0005-0000-0000-0000C7190000}"/>
    <cellStyle name="Heading 3 2 7 2 3 2 2" xfId="17626" xr:uid="{00000000-0005-0000-0000-0000C8190000}"/>
    <cellStyle name="Heading 3 2 7 2 3 2 2 2" xfId="32458" xr:uid="{00000000-0005-0000-0000-0000C9190000}"/>
    <cellStyle name="Heading 3 2 7 2 3 2 3" xfId="24028" xr:uid="{00000000-0005-0000-0000-0000CA190000}"/>
    <cellStyle name="Heading 3 2 7 2 3 3" xfId="14639" xr:uid="{00000000-0005-0000-0000-0000CB190000}"/>
    <cellStyle name="Heading 3 2 7 2 3 3 2" xfId="29471" xr:uid="{00000000-0005-0000-0000-0000CC190000}"/>
    <cellStyle name="Heading 3 2 7 2 3 4" xfId="21625" xr:uid="{00000000-0005-0000-0000-0000CD190000}"/>
    <cellStyle name="Heading 3 2 7 2 4" xfId="11877" xr:uid="{00000000-0005-0000-0000-0000CE190000}"/>
    <cellStyle name="Heading 3 2 7 2 4 2" xfId="26709" xr:uid="{00000000-0005-0000-0000-0000CF190000}"/>
    <cellStyle name="Heading 3 2 7 2 5" xfId="20275" xr:uid="{00000000-0005-0000-0000-0000D0190000}"/>
    <cellStyle name="Heading 3 2 7 3" xfId="1736" xr:uid="{00000000-0005-0000-0000-0000D1190000}"/>
    <cellStyle name="Heading 3 2 7 3 2" xfId="3192" xr:uid="{00000000-0005-0000-0000-0000D2190000}"/>
    <cellStyle name="Heading 3 2 7 3 2 2" xfId="7256" xr:uid="{00000000-0005-0000-0000-0000D3190000}"/>
    <cellStyle name="Heading 3 2 7 3 2 2 2" xfId="17026" xr:uid="{00000000-0005-0000-0000-0000D4190000}"/>
    <cellStyle name="Heading 3 2 7 3 2 2 2 2" xfId="31858" xr:uid="{00000000-0005-0000-0000-0000D5190000}"/>
    <cellStyle name="Heading 3 2 7 3 2 2 3" xfId="23309" xr:uid="{00000000-0005-0000-0000-0000D6190000}"/>
    <cellStyle name="Heading 3 2 7 3 2 3" xfId="13530" xr:uid="{00000000-0005-0000-0000-0000D7190000}"/>
    <cellStyle name="Heading 3 2 7 3 2 3 2" xfId="28362" xr:uid="{00000000-0005-0000-0000-0000D8190000}"/>
    <cellStyle name="Heading 3 2 7 3 2 4" xfId="20999" xr:uid="{00000000-0005-0000-0000-0000D9190000}"/>
    <cellStyle name="Heading 3 2 7 3 3" xfId="5868" xr:uid="{00000000-0005-0000-0000-0000DA190000}"/>
    <cellStyle name="Heading 3 2 7 3 3 2" xfId="16060" xr:uid="{00000000-0005-0000-0000-0000DB190000}"/>
    <cellStyle name="Heading 3 2 7 3 3 2 2" xfId="30892" xr:uid="{00000000-0005-0000-0000-0000DC190000}"/>
    <cellStyle name="Heading 3 2 7 3 3 3" xfId="22465" xr:uid="{00000000-0005-0000-0000-0000DD190000}"/>
    <cellStyle name="Heading 3 2 7 3 4" xfId="12130" xr:uid="{00000000-0005-0000-0000-0000DE190000}"/>
    <cellStyle name="Heading 3 2 7 3 4 2" xfId="26962" xr:uid="{00000000-0005-0000-0000-0000DF190000}"/>
    <cellStyle name="Heading 3 2 7 3 5" xfId="20289" xr:uid="{00000000-0005-0000-0000-0000E0190000}"/>
    <cellStyle name="Heading 3 2 7 4" xfId="4297" xr:uid="{00000000-0005-0000-0000-0000E1190000}"/>
    <cellStyle name="Heading 3 2 7 4 2" xfId="8336" xr:uid="{00000000-0005-0000-0000-0000E2190000}"/>
    <cellStyle name="Heading 3 2 7 4 2 2" xfId="17616" xr:uid="{00000000-0005-0000-0000-0000E3190000}"/>
    <cellStyle name="Heading 3 2 7 4 2 2 2" xfId="32448" xr:uid="{00000000-0005-0000-0000-0000E4190000}"/>
    <cellStyle name="Heading 3 2 7 4 2 3" xfId="24022" xr:uid="{00000000-0005-0000-0000-0000E5190000}"/>
    <cellStyle name="Heading 3 2 7 4 3" xfId="14628" xr:uid="{00000000-0005-0000-0000-0000E6190000}"/>
    <cellStyle name="Heading 3 2 7 4 3 2" xfId="29460" xr:uid="{00000000-0005-0000-0000-0000E7190000}"/>
    <cellStyle name="Heading 3 2 7 4 4" xfId="21619" xr:uid="{00000000-0005-0000-0000-0000E8190000}"/>
    <cellStyle name="Heading 3 2 7 5" xfId="5382" xr:uid="{00000000-0005-0000-0000-0000E9190000}"/>
    <cellStyle name="Heading 3 2 7 5 2" xfId="22143" xr:uid="{00000000-0005-0000-0000-0000EA190000}"/>
    <cellStyle name="Heading 3 2 7 6" xfId="20259" xr:uid="{00000000-0005-0000-0000-0000EB190000}"/>
    <cellStyle name="Heading 3 2 8" xfId="1074" xr:uid="{00000000-0005-0000-0000-0000EC190000}"/>
    <cellStyle name="Heading 3 2 8 2" xfId="1452" xr:uid="{00000000-0005-0000-0000-0000ED190000}"/>
    <cellStyle name="Heading 3 2 8 2 2" xfId="1953" xr:uid="{00000000-0005-0000-0000-0000EE190000}"/>
    <cellStyle name="Heading 3 2 8 2 2 2" xfId="3236" xr:uid="{00000000-0005-0000-0000-0000EF190000}"/>
    <cellStyle name="Heading 3 2 8 2 2 2 2" xfId="7300" xr:uid="{00000000-0005-0000-0000-0000F0190000}"/>
    <cellStyle name="Heading 3 2 8 2 2 2 2 2" xfId="17059" xr:uid="{00000000-0005-0000-0000-0000F1190000}"/>
    <cellStyle name="Heading 3 2 8 2 2 2 2 2 2" xfId="31891" xr:uid="{00000000-0005-0000-0000-0000F2190000}"/>
    <cellStyle name="Heading 3 2 8 2 2 2 2 3" xfId="23340" xr:uid="{00000000-0005-0000-0000-0000F3190000}"/>
    <cellStyle name="Heading 3 2 8 2 2 2 3" xfId="13573" xr:uid="{00000000-0005-0000-0000-0000F4190000}"/>
    <cellStyle name="Heading 3 2 8 2 2 2 3 2" xfId="28405" xr:uid="{00000000-0005-0000-0000-0000F5190000}"/>
    <cellStyle name="Heading 3 2 8 2 2 2 4" xfId="21028" xr:uid="{00000000-0005-0000-0000-0000F6190000}"/>
    <cellStyle name="Heading 3 2 8 2 2 3" xfId="6083" xr:uid="{00000000-0005-0000-0000-0000F7190000}"/>
    <cellStyle name="Heading 3 2 8 2 2 3 2" xfId="16270" xr:uid="{00000000-0005-0000-0000-0000F8190000}"/>
    <cellStyle name="Heading 3 2 8 2 2 3 2 2" xfId="31102" xr:uid="{00000000-0005-0000-0000-0000F9190000}"/>
    <cellStyle name="Heading 3 2 8 2 2 3 3" xfId="22616" xr:uid="{00000000-0005-0000-0000-0000FA190000}"/>
    <cellStyle name="Heading 3 2 8 2 2 4" xfId="12340" xr:uid="{00000000-0005-0000-0000-0000FB190000}"/>
    <cellStyle name="Heading 3 2 8 2 2 4 2" xfId="27172" xr:uid="{00000000-0005-0000-0000-0000FC190000}"/>
    <cellStyle name="Heading 3 2 8 2 2 5" xfId="20328" xr:uid="{00000000-0005-0000-0000-0000FD190000}"/>
    <cellStyle name="Heading 3 2 8 2 3" xfId="3714" xr:uid="{00000000-0005-0000-0000-0000FE190000}"/>
    <cellStyle name="Heading 3 2 8 2 3 2" xfId="7770" xr:uid="{00000000-0005-0000-0000-0000FF190000}"/>
    <cellStyle name="Heading 3 2 8 2 3 2 2" xfId="17331" xr:uid="{00000000-0005-0000-0000-0000001A0000}"/>
    <cellStyle name="Heading 3 2 8 2 3 2 2 2" xfId="32163" xr:uid="{00000000-0005-0000-0000-0000011A0000}"/>
    <cellStyle name="Heading 3 2 8 2 3 2 3" xfId="23651" xr:uid="{00000000-0005-0000-0000-0000021A0000}"/>
    <cellStyle name="Heading 3 2 8 2 3 3" xfId="14049" xr:uid="{00000000-0005-0000-0000-0000031A0000}"/>
    <cellStyle name="Heading 3 2 8 2 3 3 2" xfId="28881" xr:uid="{00000000-0005-0000-0000-0000041A0000}"/>
    <cellStyle name="Heading 3 2 8 2 3 4" xfId="21311" xr:uid="{00000000-0005-0000-0000-0000051A0000}"/>
    <cellStyle name="Heading 3 2 8 2 4" xfId="11869" xr:uid="{00000000-0005-0000-0000-0000061A0000}"/>
    <cellStyle name="Heading 3 2 8 2 4 2" xfId="26701" xr:uid="{00000000-0005-0000-0000-0000071A0000}"/>
    <cellStyle name="Heading 3 2 8 2 5" xfId="20267" xr:uid="{00000000-0005-0000-0000-0000081A0000}"/>
    <cellStyle name="Heading 3 2 8 3" xfId="1737" xr:uid="{00000000-0005-0000-0000-0000091A0000}"/>
    <cellStyle name="Heading 3 2 8 3 2" xfId="3253" xr:uid="{00000000-0005-0000-0000-00000A1A0000}"/>
    <cellStyle name="Heading 3 2 8 3 2 2" xfId="7317" xr:uid="{00000000-0005-0000-0000-00000B1A0000}"/>
    <cellStyle name="Heading 3 2 8 3 2 2 2" xfId="17069" xr:uid="{00000000-0005-0000-0000-00000C1A0000}"/>
    <cellStyle name="Heading 3 2 8 3 2 2 2 2" xfId="31901" xr:uid="{00000000-0005-0000-0000-00000D1A0000}"/>
    <cellStyle name="Heading 3 2 8 3 2 2 3" xfId="23355" xr:uid="{00000000-0005-0000-0000-00000E1A0000}"/>
    <cellStyle name="Heading 3 2 8 3 2 3" xfId="13590" xr:uid="{00000000-0005-0000-0000-00000F1A0000}"/>
    <cellStyle name="Heading 3 2 8 3 2 3 2" xfId="28422" xr:uid="{00000000-0005-0000-0000-0000101A0000}"/>
    <cellStyle name="Heading 3 2 8 3 2 4" xfId="21042" xr:uid="{00000000-0005-0000-0000-0000111A0000}"/>
    <cellStyle name="Heading 3 2 8 3 3" xfId="5869" xr:uid="{00000000-0005-0000-0000-0000121A0000}"/>
    <cellStyle name="Heading 3 2 8 3 3 2" xfId="16061" xr:uid="{00000000-0005-0000-0000-0000131A0000}"/>
    <cellStyle name="Heading 3 2 8 3 3 2 2" xfId="30893" xr:uid="{00000000-0005-0000-0000-0000141A0000}"/>
    <cellStyle name="Heading 3 2 8 3 3 3" xfId="22466" xr:uid="{00000000-0005-0000-0000-0000151A0000}"/>
    <cellStyle name="Heading 3 2 8 3 4" xfId="12131" xr:uid="{00000000-0005-0000-0000-0000161A0000}"/>
    <cellStyle name="Heading 3 2 8 3 4 2" xfId="26963" xr:uid="{00000000-0005-0000-0000-0000171A0000}"/>
    <cellStyle name="Heading 3 2 8 3 5" xfId="20290" xr:uid="{00000000-0005-0000-0000-0000181A0000}"/>
    <cellStyle name="Heading 3 2 8 4" xfId="3221" xr:uid="{00000000-0005-0000-0000-0000191A0000}"/>
    <cellStyle name="Heading 3 2 8 4 2" xfId="7285" xr:uid="{00000000-0005-0000-0000-00001A1A0000}"/>
    <cellStyle name="Heading 3 2 8 4 2 2" xfId="17047" xr:uid="{00000000-0005-0000-0000-00001B1A0000}"/>
    <cellStyle name="Heading 3 2 8 4 2 2 2" xfId="31879" xr:uid="{00000000-0005-0000-0000-00001C1A0000}"/>
    <cellStyle name="Heading 3 2 8 4 2 3" xfId="23329" xr:uid="{00000000-0005-0000-0000-00001D1A0000}"/>
    <cellStyle name="Heading 3 2 8 4 3" xfId="13559" xr:uid="{00000000-0005-0000-0000-00001E1A0000}"/>
    <cellStyle name="Heading 3 2 8 4 3 2" xfId="28391" xr:uid="{00000000-0005-0000-0000-00001F1A0000}"/>
    <cellStyle name="Heading 3 2 8 4 4" xfId="21018" xr:uid="{00000000-0005-0000-0000-0000201A0000}"/>
    <cellStyle name="Heading 3 2 8 5" xfId="5381" xr:uid="{00000000-0005-0000-0000-0000211A0000}"/>
    <cellStyle name="Heading 3 2 8 5 2" xfId="22142" xr:uid="{00000000-0005-0000-0000-0000221A0000}"/>
    <cellStyle name="Heading 3 2 8 6" xfId="20260" xr:uid="{00000000-0005-0000-0000-0000231A0000}"/>
    <cellStyle name="Heading 3 2 9" xfId="1454" xr:uid="{00000000-0005-0000-0000-0000241A0000}"/>
    <cellStyle name="Heading 3 2 9 2" xfId="1955" xr:uid="{00000000-0005-0000-0000-0000251A0000}"/>
    <cellStyle name="Heading 3 2 9 2 2" xfId="3209" xr:uid="{00000000-0005-0000-0000-0000261A0000}"/>
    <cellStyle name="Heading 3 2 9 2 2 2" xfId="7273" xr:uid="{00000000-0005-0000-0000-0000271A0000}"/>
    <cellStyle name="Heading 3 2 9 2 2 2 2" xfId="17040" xr:uid="{00000000-0005-0000-0000-0000281A0000}"/>
    <cellStyle name="Heading 3 2 9 2 2 2 2 2" xfId="31872" xr:uid="{00000000-0005-0000-0000-0000291A0000}"/>
    <cellStyle name="Heading 3 2 9 2 2 2 3" xfId="23320" xr:uid="{00000000-0005-0000-0000-00002A1A0000}"/>
    <cellStyle name="Heading 3 2 9 2 2 3" xfId="13547" xr:uid="{00000000-0005-0000-0000-00002B1A0000}"/>
    <cellStyle name="Heading 3 2 9 2 2 3 2" xfId="28379" xr:uid="{00000000-0005-0000-0000-00002C1A0000}"/>
    <cellStyle name="Heading 3 2 9 2 2 4" xfId="21010" xr:uid="{00000000-0005-0000-0000-00002D1A0000}"/>
    <cellStyle name="Heading 3 2 9 2 3" xfId="6085" xr:uid="{00000000-0005-0000-0000-00002E1A0000}"/>
    <cellStyle name="Heading 3 2 9 2 3 2" xfId="16272" xr:uid="{00000000-0005-0000-0000-00002F1A0000}"/>
    <cellStyle name="Heading 3 2 9 2 3 2 2" xfId="31104" xr:uid="{00000000-0005-0000-0000-0000301A0000}"/>
    <cellStyle name="Heading 3 2 9 2 3 3" xfId="22618" xr:uid="{00000000-0005-0000-0000-0000311A0000}"/>
    <cellStyle name="Heading 3 2 9 2 4" xfId="12342" xr:uid="{00000000-0005-0000-0000-0000321A0000}"/>
    <cellStyle name="Heading 3 2 9 2 4 2" xfId="27174" xr:uid="{00000000-0005-0000-0000-0000331A0000}"/>
    <cellStyle name="Heading 3 2 9 2 5" xfId="20330" xr:uid="{00000000-0005-0000-0000-0000341A0000}"/>
    <cellStyle name="Heading 3 2 9 3" xfId="3875" xr:uid="{00000000-0005-0000-0000-0000351A0000}"/>
    <cellStyle name="Heading 3 2 9 3 2" xfId="7927" xr:uid="{00000000-0005-0000-0000-0000361A0000}"/>
    <cellStyle name="Heading 3 2 9 3 2 2" xfId="17406" xr:uid="{00000000-0005-0000-0000-0000371A0000}"/>
    <cellStyle name="Heading 3 2 9 3 2 2 2" xfId="32238" xr:uid="{00000000-0005-0000-0000-0000381A0000}"/>
    <cellStyle name="Heading 3 2 9 3 2 3" xfId="23754" xr:uid="{00000000-0005-0000-0000-0000391A0000}"/>
    <cellStyle name="Heading 3 2 9 3 3" xfId="14210" xr:uid="{00000000-0005-0000-0000-00003A1A0000}"/>
    <cellStyle name="Heading 3 2 9 3 3 2" xfId="29042" xr:uid="{00000000-0005-0000-0000-00003B1A0000}"/>
    <cellStyle name="Heading 3 2 9 3 4" xfId="21396" xr:uid="{00000000-0005-0000-0000-00003C1A0000}"/>
    <cellStyle name="Heading 3 2 9 4" xfId="11871" xr:uid="{00000000-0005-0000-0000-00003D1A0000}"/>
    <cellStyle name="Heading 3 2 9 4 2" xfId="26703" xr:uid="{00000000-0005-0000-0000-00003E1A0000}"/>
    <cellStyle name="Heading 3 2 9 5" xfId="20269" xr:uid="{00000000-0005-0000-0000-00003F1A0000}"/>
    <cellStyle name="Heading 3 3" xfId="1075" xr:uid="{00000000-0005-0000-0000-0000401A0000}"/>
    <cellStyle name="Heading 3 3 2" xfId="1461" xr:uid="{00000000-0005-0000-0000-0000411A0000}"/>
    <cellStyle name="Heading 3 3 2 2" xfId="1962" xr:uid="{00000000-0005-0000-0000-0000421A0000}"/>
    <cellStyle name="Heading 3 3 2 2 2" xfId="3250" xr:uid="{00000000-0005-0000-0000-0000431A0000}"/>
    <cellStyle name="Heading 3 3 2 2 2 2" xfId="7314" xr:uid="{00000000-0005-0000-0000-0000441A0000}"/>
    <cellStyle name="Heading 3 3 2 2 2 2 2" xfId="17068" xr:uid="{00000000-0005-0000-0000-0000451A0000}"/>
    <cellStyle name="Heading 3 3 2 2 2 2 2 2" xfId="31900" xr:uid="{00000000-0005-0000-0000-0000461A0000}"/>
    <cellStyle name="Heading 3 3 2 2 2 2 3" xfId="23352" xr:uid="{00000000-0005-0000-0000-0000471A0000}"/>
    <cellStyle name="Heading 3 3 2 2 2 3" xfId="13587" xr:uid="{00000000-0005-0000-0000-0000481A0000}"/>
    <cellStyle name="Heading 3 3 2 2 2 3 2" xfId="28419" xr:uid="{00000000-0005-0000-0000-0000491A0000}"/>
    <cellStyle name="Heading 3 3 2 2 2 4" xfId="21039" xr:uid="{00000000-0005-0000-0000-00004A1A0000}"/>
    <cellStyle name="Heading 3 3 2 2 3" xfId="6092" xr:uid="{00000000-0005-0000-0000-00004B1A0000}"/>
    <cellStyle name="Heading 3 3 2 2 3 2" xfId="16279" xr:uid="{00000000-0005-0000-0000-00004C1A0000}"/>
    <cellStyle name="Heading 3 3 2 2 3 2 2" xfId="31111" xr:uid="{00000000-0005-0000-0000-00004D1A0000}"/>
    <cellStyle name="Heading 3 3 2 2 3 3" xfId="22625" xr:uid="{00000000-0005-0000-0000-00004E1A0000}"/>
    <cellStyle name="Heading 3 3 2 2 4" xfId="12349" xr:uid="{00000000-0005-0000-0000-00004F1A0000}"/>
    <cellStyle name="Heading 3 3 2 2 4 2" xfId="27181" xr:uid="{00000000-0005-0000-0000-0000501A0000}"/>
    <cellStyle name="Heading 3 3 2 2 5" xfId="20337" xr:uid="{00000000-0005-0000-0000-0000511A0000}"/>
    <cellStyle name="Heading 3 3 2 3" xfId="3170" xr:uid="{00000000-0005-0000-0000-0000521A0000}"/>
    <cellStyle name="Heading 3 3 2 3 2" xfId="7234" xr:uid="{00000000-0005-0000-0000-0000531A0000}"/>
    <cellStyle name="Heading 3 3 2 3 2 2" xfId="17010" xr:uid="{00000000-0005-0000-0000-0000541A0000}"/>
    <cellStyle name="Heading 3 3 2 3 2 2 2" xfId="31842" xr:uid="{00000000-0005-0000-0000-0000551A0000}"/>
    <cellStyle name="Heading 3 3 2 3 2 3" xfId="23294" xr:uid="{00000000-0005-0000-0000-0000561A0000}"/>
    <cellStyle name="Heading 3 3 2 3 3" xfId="13508" xr:uid="{00000000-0005-0000-0000-0000571A0000}"/>
    <cellStyle name="Heading 3 3 2 3 3 2" xfId="28340" xr:uid="{00000000-0005-0000-0000-0000581A0000}"/>
    <cellStyle name="Heading 3 3 2 3 4" xfId="20985" xr:uid="{00000000-0005-0000-0000-0000591A0000}"/>
    <cellStyle name="Heading 3 3 2 4" xfId="11878" xr:uid="{00000000-0005-0000-0000-00005A1A0000}"/>
    <cellStyle name="Heading 3 3 2 4 2" xfId="26710" xr:uid="{00000000-0005-0000-0000-00005B1A0000}"/>
    <cellStyle name="Heading 3 3 2 5" xfId="20276" xr:uid="{00000000-0005-0000-0000-00005C1A0000}"/>
    <cellStyle name="Heading 3 3 3" xfId="1738" xr:uid="{00000000-0005-0000-0000-00005D1A0000}"/>
    <cellStyle name="Heading 3 3 3 2" xfId="3138" xr:uid="{00000000-0005-0000-0000-00005E1A0000}"/>
    <cellStyle name="Heading 3 3 3 2 2" xfId="7202" xr:uid="{00000000-0005-0000-0000-00005F1A0000}"/>
    <cellStyle name="Heading 3 3 3 2 2 2" xfId="16987" xr:uid="{00000000-0005-0000-0000-0000601A0000}"/>
    <cellStyle name="Heading 3 3 3 2 2 2 2" xfId="31819" xr:uid="{00000000-0005-0000-0000-0000611A0000}"/>
    <cellStyle name="Heading 3 3 3 2 2 3" xfId="23274" xr:uid="{00000000-0005-0000-0000-0000621A0000}"/>
    <cellStyle name="Heading 3 3 3 2 3" xfId="13476" xr:uid="{00000000-0005-0000-0000-0000631A0000}"/>
    <cellStyle name="Heading 3 3 3 2 3 2" xfId="28308" xr:uid="{00000000-0005-0000-0000-0000641A0000}"/>
    <cellStyle name="Heading 3 3 3 2 4" xfId="20965" xr:uid="{00000000-0005-0000-0000-0000651A0000}"/>
    <cellStyle name="Heading 3 3 3 3" xfId="5870" xr:uid="{00000000-0005-0000-0000-0000661A0000}"/>
    <cellStyle name="Heading 3 3 3 3 2" xfId="16062" xr:uid="{00000000-0005-0000-0000-0000671A0000}"/>
    <cellStyle name="Heading 3 3 3 3 2 2" xfId="30894" xr:uid="{00000000-0005-0000-0000-0000681A0000}"/>
    <cellStyle name="Heading 3 3 3 3 3" xfId="22467" xr:uid="{00000000-0005-0000-0000-0000691A0000}"/>
    <cellStyle name="Heading 3 3 3 4" xfId="12132" xr:uid="{00000000-0005-0000-0000-00006A1A0000}"/>
    <cellStyle name="Heading 3 3 3 4 2" xfId="26964" xr:uid="{00000000-0005-0000-0000-00006B1A0000}"/>
    <cellStyle name="Heading 3 3 3 5" xfId="20291" xr:uid="{00000000-0005-0000-0000-00006C1A0000}"/>
    <cellStyle name="Heading 3 3 4" xfId="3161" xr:uid="{00000000-0005-0000-0000-00006D1A0000}"/>
    <cellStyle name="Heading 3 3 4 2" xfId="7225" xr:uid="{00000000-0005-0000-0000-00006E1A0000}"/>
    <cellStyle name="Heading 3 3 4 2 2" xfId="17003" xr:uid="{00000000-0005-0000-0000-00006F1A0000}"/>
    <cellStyle name="Heading 3 3 4 2 2 2" xfId="31835" xr:uid="{00000000-0005-0000-0000-0000701A0000}"/>
    <cellStyle name="Heading 3 3 4 2 3" xfId="23289" xr:uid="{00000000-0005-0000-0000-0000711A0000}"/>
    <cellStyle name="Heading 3 3 4 3" xfId="13499" xr:uid="{00000000-0005-0000-0000-0000721A0000}"/>
    <cellStyle name="Heading 3 3 4 3 2" xfId="28331" xr:uid="{00000000-0005-0000-0000-0000731A0000}"/>
    <cellStyle name="Heading 3 3 4 4" xfId="20980" xr:uid="{00000000-0005-0000-0000-0000741A0000}"/>
    <cellStyle name="Heading 3 3 5" xfId="5380" xr:uid="{00000000-0005-0000-0000-0000751A0000}"/>
    <cellStyle name="Heading 3 3 5 2" xfId="22141" xr:uid="{00000000-0005-0000-0000-0000761A0000}"/>
    <cellStyle name="Heading 3 3 6" xfId="20261" xr:uid="{00000000-0005-0000-0000-0000771A0000}"/>
    <cellStyle name="Heading 3 4" xfId="1076" xr:uid="{00000000-0005-0000-0000-0000781A0000}"/>
    <cellStyle name="Heading 3 4 2" xfId="1462" xr:uid="{00000000-0005-0000-0000-0000791A0000}"/>
    <cellStyle name="Heading 3 4 2 2" xfId="1963" xr:uid="{00000000-0005-0000-0000-00007A1A0000}"/>
    <cellStyle name="Heading 3 4 2 2 2" xfId="3134" xr:uid="{00000000-0005-0000-0000-00007B1A0000}"/>
    <cellStyle name="Heading 3 4 2 2 2 2" xfId="7198" xr:uid="{00000000-0005-0000-0000-00007C1A0000}"/>
    <cellStyle name="Heading 3 4 2 2 2 2 2" xfId="16986" xr:uid="{00000000-0005-0000-0000-00007D1A0000}"/>
    <cellStyle name="Heading 3 4 2 2 2 2 2 2" xfId="31818" xr:uid="{00000000-0005-0000-0000-00007E1A0000}"/>
    <cellStyle name="Heading 3 4 2 2 2 2 3" xfId="23270" xr:uid="{00000000-0005-0000-0000-00007F1A0000}"/>
    <cellStyle name="Heading 3 4 2 2 2 3" xfId="13472" xr:uid="{00000000-0005-0000-0000-0000801A0000}"/>
    <cellStyle name="Heading 3 4 2 2 2 3 2" xfId="28304" xr:uid="{00000000-0005-0000-0000-0000811A0000}"/>
    <cellStyle name="Heading 3 4 2 2 2 4" xfId="20961" xr:uid="{00000000-0005-0000-0000-0000821A0000}"/>
    <cellStyle name="Heading 3 4 2 2 3" xfId="6093" xr:uid="{00000000-0005-0000-0000-0000831A0000}"/>
    <cellStyle name="Heading 3 4 2 2 3 2" xfId="16280" xr:uid="{00000000-0005-0000-0000-0000841A0000}"/>
    <cellStyle name="Heading 3 4 2 2 3 2 2" xfId="31112" xr:uid="{00000000-0005-0000-0000-0000851A0000}"/>
    <cellStyle name="Heading 3 4 2 2 3 3" xfId="22626" xr:uid="{00000000-0005-0000-0000-0000861A0000}"/>
    <cellStyle name="Heading 3 4 2 2 4" xfId="12350" xr:uid="{00000000-0005-0000-0000-0000871A0000}"/>
    <cellStyle name="Heading 3 4 2 2 4 2" xfId="27182" xr:uid="{00000000-0005-0000-0000-0000881A0000}"/>
    <cellStyle name="Heading 3 4 2 2 5" xfId="20338" xr:uid="{00000000-0005-0000-0000-0000891A0000}"/>
    <cellStyle name="Heading 3 4 2 3" xfId="3287" xr:uid="{00000000-0005-0000-0000-00008A1A0000}"/>
    <cellStyle name="Heading 3 4 2 3 2" xfId="7351" xr:uid="{00000000-0005-0000-0000-00008B1A0000}"/>
    <cellStyle name="Heading 3 4 2 3 2 2" xfId="17093" xr:uid="{00000000-0005-0000-0000-00008C1A0000}"/>
    <cellStyle name="Heading 3 4 2 3 2 2 2" xfId="31925" xr:uid="{00000000-0005-0000-0000-00008D1A0000}"/>
    <cellStyle name="Heading 3 4 2 3 2 3" xfId="23378" xr:uid="{00000000-0005-0000-0000-00008E1A0000}"/>
    <cellStyle name="Heading 3 4 2 3 3" xfId="13624" xr:uid="{00000000-0005-0000-0000-00008F1A0000}"/>
    <cellStyle name="Heading 3 4 2 3 3 2" xfId="28456" xr:uid="{00000000-0005-0000-0000-0000901A0000}"/>
    <cellStyle name="Heading 3 4 2 3 4" xfId="21065" xr:uid="{00000000-0005-0000-0000-0000911A0000}"/>
    <cellStyle name="Heading 3 4 2 4" xfId="11879" xr:uid="{00000000-0005-0000-0000-0000921A0000}"/>
    <cellStyle name="Heading 3 4 2 4 2" xfId="26711" xr:uid="{00000000-0005-0000-0000-0000931A0000}"/>
    <cellStyle name="Heading 3 4 2 5" xfId="20277" xr:uid="{00000000-0005-0000-0000-0000941A0000}"/>
    <cellStyle name="Heading 3 4 3" xfId="1739" xr:uid="{00000000-0005-0000-0000-0000951A0000}"/>
    <cellStyle name="Heading 3 4 3 2" xfId="3246" xr:uid="{00000000-0005-0000-0000-0000961A0000}"/>
    <cellStyle name="Heading 3 4 3 2 2" xfId="7310" xr:uid="{00000000-0005-0000-0000-0000971A0000}"/>
    <cellStyle name="Heading 3 4 3 2 2 2" xfId="17065" xr:uid="{00000000-0005-0000-0000-0000981A0000}"/>
    <cellStyle name="Heading 3 4 3 2 2 2 2" xfId="31897" xr:uid="{00000000-0005-0000-0000-0000991A0000}"/>
    <cellStyle name="Heading 3 4 3 2 2 3" xfId="23349" xr:uid="{00000000-0005-0000-0000-00009A1A0000}"/>
    <cellStyle name="Heading 3 4 3 2 3" xfId="13583" xr:uid="{00000000-0005-0000-0000-00009B1A0000}"/>
    <cellStyle name="Heading 3 4 3 2 3 2" xfId="28415" xr:uid="{00000000-0005-0000-0000-00009C1A0000}"/>
    <cellStyle name="Heading 3 4 3 2 4" xfId="21036" xr:uid="{00000000-0005-0000-0000-00009D1A0000}"/>
    <cellStyle name="Heading 3 4 3 3" xfId="5871" xr:uid="{00000000-0005-0000-0000-00009E1A0000}"/>
    <cellStyle name="Heading 3 4 3 3 2" xfId="16063" xr:uid="{00000000-0005-0000-0000-00009F1A0000}"/>
    <cellStyle name="Heading 3 4 3 3 2 2" xfId="30895" xr:uid="{00000000-0005-0000-0000-0000A01A0000}"/>
    <cellStyle name="Heading 3 4 3 3 3" xfId="22468" xr:uid="{00000000-0005-0000-0000-0000A11A0000}"/>
    <cellStyle name="Heading 3 4 3 4" xfId="12133" xr:uid="{00000000-0005-0000-0000-0000A21A0000}"/>
    <cellStyle name="Heading 3 4 3 4 2" xfId="26965" xr:uid="{00000000-0005-0000-0000-0000A31A0000}"/>
    <cellStyle name="Heading 3 4 3 5" xfId="20292" xr:uid="{00000000-0005-0000-0000-0000A41A0000}"/>
    <cellStyle name="Heading 3 4 4" xfId="3278" xr:uid="{00000000-0005-0000-0000-0000A51A0000}"/>
    <cellStyle name="Heading 3 4 4 2" xfId="7342" xr:uid="{00000000-0005-0000-0000-0000A61A0000}"/>
    <cellStyle name="Heading 3 4 4 2 2" xfId="17086" xr:uid="{00000000-0005-0000-0000-0000A71A0000}"/>
    <cellStyle name="Heading 3 4 4 2 2 2" xfId="31918" xr:uid="{00000000-0005-0000-0000-0000A81A0000}"/>
    <cellStyle name="Heading 3 4 4 2 3" xfId="23372" xr:uid="{00000000-0005-0000-0000-0000A91A0000}"/>
    <cellStyle name="Heading 3 4 4 3" xfId="13615" xr:uid="{00000000-0005-0000-0000-0000AA1A0000}"/>
    <cellStyle name="Heading 3 4 4 3 2" xfId="28447" xr:uid="{00000000-0005-0000-0000-0000AB1A0000}"/>
    <cellStyle name="Heading 3 4 4 4" xfId="21059" xr:uid="{00000000-0005-0000-0000-0000AC1A0000}"/>
    <cellStyle name="Heading 3 4 5" xfId="5379" xr:uid="{00000000-0005-0000-0000-0000AD1A0000}"/>
    <cellStyle name="Heading 3 4 5 2" xfId="22140" xr:uid="{00000000-0005-0000-0000-0000AE1A0000}"/>
    <cellStyle name="Heading 3 4 6" xfId="20262" xr:uid="{00000000-0005-0000-0000-0000AF1A0000}"/>
    <cellStyle name="Heading 3 5" xfId="1077" xr:uid="{00000000-0005-0000-0000-0000B01A0000}"/>
    <cellStyle name="Heading 3 5 2" xfId="1463" xr:uid="{00000000-0005-0000-0000-0000B11A0000}"/>
    <cellStyle name="Heading 3 5 2 2" xfId="1964" xr:uid="{00000000-0005-0000-0000-0000B21A0000}"/>
    <cellStyle name="Heading 3 5 2 2 2" xfId="3244" xr:uid="{00000000-0005-0000-0000-0000B31A0000}"/>
    <cellStyle name="Heading 3 5 2 2 2 2" xfId="7308" xr:uid="{00000000-0005-0000-0000-0000B41A0000}"/>
    <cellStyle name="Heading 3 5 2 2 2 2 2" xfId="17064" xr:uid="{00000000-0005-0000-0000-0000B51A0000}"/>
    <cellStyle name="Heading 3 5 2 2 2 2 2 2" xfId="31896" xr:uid="{00000000-0005-0000-0000-0000B61A0000}"/>
    <cellStyle name="Heading 3 5 2 2 2 2 3" xfId="23347" xr:uid="{00000000-0005-0000-0000-0000B71A0000}"/>
    <cellStyle name="Heading 3 5 2 2 2 3" xfId="13581" xr:uid="{00000000-0005-0000-0000-0000B81A0000}"/>
    <cellStyle name="Heading 3 5 2 2 2 3 2" xfId="28413" xr:uid="{00000000-0005-0000-0000-0000B91A0000}"/>
    <cellStyle name="Heading 3 5 2 2 2 4" xfId="21034" xr:uid="{00000000-0005-0000-0000-0000BA1A0000}"/>
    <cellStyle name="Heading 3 5 2 2 3" xfId="6094" xr:uid="{00000000-0005-0000-0000-0000BB1A0000}"/>
    <cellStyle name="Heading 3 5 2 2 3 2" xfId="16281" xr:uid="{00000000-0005-0000-0000-0000BC1A0000}"/>
    <cellStyle name="Heading 3 5 2 2 3 2 2" xfId="31113" xr:uid="{00000000-0005-0000-0000-0000BD1A0000}"/>
    <cellStyle name="Heading 3 5 2 2 3 3" xfId="22627" xr:uid="{00000000-0005-0000-0000-0000BE1A0000}"/>
    <cellStyle name="Heading 3 5 2 2 4" xfId="12351" xr:uid="{00000000-0005-0000-0000-0000BF1A0000}"/>
    <cellStyle name="Heading 3 5 2 2 4 2" xfId="27183" xr:uid="{00000000-0005-0000-0000-0000C01A0000}"/>
    <cellStyle name="Heading 3 5 2 2 5" xfId="20339" xr:uid="{00000000-0005-0000-0000-0000C11A0000}"/>
    <cellStyle name="Heading 3 5 2 3" xfId="4284" xr:uid="{00000000-0005-0000-0000-0000C21A0000}"/>
    <cellStyle name="Heading 3 5 2 3 2" xfId="8323" xr:uid="{00000000-0005-0000-0000-0000C31A0000}"/>
    <cellStyle name="Heading 3 5 2 3 2 2" xfId="17605" xr:uid="{00000000-0005-0000-0000-0000C41A0000}"/>
    <cellStyle name="Heading 3 5 2 3 2 2 2" xfId="32437" xr:uid="{00000000-0005-0000-0000-0000C51A0000}"/>
    <cellStyle name="Heading 3 5 2 3 2 3" xfId="24013" xr:uid="{00000000-0005-0000-0000-0000C61A0000}"/>
    <cellStyle name="Heading 3 5 2 3 3" xfId="14616" xr:uid="{00000000-0005-0000-0000-0000C71A0000}"/>
    <cellStyle name="Heading 3 5 2 3 3 2" xfId="29448" xr:uid="{00000000-0005-0000-0000-0000C81A0000}"/>
    <cellStyle name="Heading 3 5 2 3 4" xfId="21611" xr:uid="{00000000-0005-0000-0000-0000C91A0000}"/>
    <cellStyle name="Heading 3 5 2 4" xfId="11880" xr:uid="{00000000-0005-0000-0000-0000CA1A0000}"/>
    <cellStyle name="Heading 3 5 2 4 2" xfId="26712" xr:uid="{00000000-0005-0000-0000-0000CB1A0000}"/>
    <cellStyle name="Heading 3 5 2 5" xfId="20278" xr:uid="{00000000-0005-0000-0000-0000CC1A0000}"/>
    <cellStyle name="Heading 3 5 3" xfId="1740" xr:uid="{00000000-0005-0000-0000-0000CD1A0000}"/>
    <cellStyle name="Heading 3 5 3 2" xfId="3128" xr:uid="{00000000-0005-0000-0000-0000CE1A0000}"/>
    <cellStyle name="Heading 3 5 3 2 2" xfId="7192" xr:uid="{00000000-0005-0000-0000-0000CF1A0000}"/>
    <cellStyle name="Heading 3 5 3 2 2 2" xfId="16983" xr:uid="{00000000-0005-0000-0000-0000D01A0000}"/>
    <cellStyle name="Heading 3 5 3 2 2 2 2" xfId="31815" xr:uid="{00000000-0005-0000-0000-0000D11A0000}"/>
    <cellStyle name="Heading 3 5 3 2 2 3" xfId="23265" xr:uid="{00000000-0005-0000-0000-0000D21A0000}"/>
    <cellStyle name="Heading 3 5 3 2 3" xfId="13466" xr:uid="{00000000-0005-0000-0000-0000D31A0000}"/>
    <cellStyle name="Heading 3 5 3 2 3 2" xfId="28298" xr:uid="{00000000-0005-0000-0000-0000D41A0000}"/>
    <cellStyle name="Heading 3 5 3 2 4" xfId="20956" xr:uid="{00000000-0005-0000-0000-0000D51A0000}"/>
    <cellStyle name="Heading 3 5 3 3" xfId="5872" xr:uid="{00000000-0005-0000-0000-0000D61A0000}"/>
    <cellStyle name="Heading 3 5 3 3 2" xfId="16064" xr:uid="{00000000-0005-0000-0000-0000D71A0000}"/>
    <cellStyle name="Heading 3 5 3 3 2 2" xfId="30896" xr:uid="{00000000-0005-0000-0000-0000D81A0000}"/>
    <cellStyle name="Heading 3 5 3 3 3" xfId="22469" xr:uid="{00000000-0005-0000-0000-0000D91A0000}"/>
    <cellStyle name="Heading 3 5 3 4" xfId="12134" xr:uid="{00000000-0005-0000-0000-0000DA1A0000}"/>
    <cellStyle name="Heading 3 5 3 4 2" xfId="26966" xr:uid="{00000000-0005-0000-0000-0000DB1A0000}"/>
    <cellStyle name="Heading 3 5 3 5" xfId="20293" xr:uid="{00000000-0005-0000-0000-0000DC1A0000}"/>
    <cellStyle name="Heading 3 5 4" xfId="3180" xr:uid="{00000000-0005-0000-0000-0000DD1A0000}"/>
    <cellStyle name="Heading 3 5 4 2" xfId="7244" xr:uid="{00000000-0005-0000-0000-0000DE1A0000}"/>
    <cellStyle name="Heading 3 5 4 2 2" xfId="17016" xr:uid="{00000000-0005-0000-0000-0000DF1A0000}"/>
    <cellStyle name="Heading 3 5 4 2 2 2" xfId="31848" xr:uid="{00000000-0005-0000-0000-0000E01A0000}"/>
    <cellStyle name="Heading 3 5 4 2 3" xfId="23302" xr:uid="{00000000-0005-0000-0000-0000E11A0000}"/>
    <cellStyle name="Heading 3 5 4 3" xfId="13518" xr:uid="{00000000-0005-0000-0000-0000E21A0000}"/>
    <cellStyle name="Heading 3 5 4 3 2" xfId="28350" xr:uid="{00000000-0005-0000-0000-0000E31A0000}"/>
    <cellStyle name="Heading 3 5 4 4" xfId="20992" xr:uid="{00000000-0005-0000-0000-0000E41A0000}"/>
    <cellStyle name="Heading 3 5 5" xfId="5378" xr:uid="{00000000-0005-0000-0000-0000E51A0000}"/>
    <cellStyle name="Heading 3 5 5 2" xfId="22139" xr:uid="{00000000-0005-0000-0000-0000E61A0000}"/>
    <cellStyle name="Heading 3 5 6" xfId="20263" xr:uid="{00000000-0005-0000-0000-0000E71A0000}"/>
    <cellStyle name="Heading 3 6" xfId="1078" xr:uid="{00000000-0005-0000-0000-0000E81A0000}"/>
    <cellStyle name="Heading 3 6 2" xfId="1464" xr:uid="{00000000-0005-0000-0000-0000E91A0000}"/>
    <cellStyle name="Heading 3 6 2 2" xfId="1965" xr:uid="{00000000-0005-0000-0000-0000EA1A0000}"/>
    <cellStyle name="Heading 3 6 2 2 2" xfId="3126" xr:uid="{00000000-0005-0000-0000-0000EB1A0000}"/>
    <cellStyle name="Heading 3 6 2 2 2 2" xfId="7190" xr:uid="{00000000-0005-0000-0000-0000EC1A0000}"/>
    <cellStyle name="Heading 3 6 2 2 2 2 2" xfId="16982" xr:uid="{00000000-0005-0000-0000-0000ED1A0000}"/>
    <cellStyle name="Heading 3 6 2 2 2 2 2 2" xfId="31814" xr:uid="{00000000-0005-0000-0000-0000EE1A0000}"/>
    <cellStyle name="Heading 3 6 2 2 2 2 3" xfId="23263" xr:uid="{00000000-0005-0000-0000-0000EF1A0000}"/>
    <cellStyle name="Heading 3 6 2 2 2 3" xfId="13464" xr:uid="{00000000-0005-0000-0000-0000F01A0000}"/>
    <cellStyle name="Heading 3 6 2 2 2 3 2" xfId="28296" xr:uid="{00000000-0005-0000-0000-0000F11A0000}"/>
    <cellStyle name="Heading 3 6 2 2 2 4" xfId="20954" xr:uid="{00000000-0005-0000-0000-0000F21A0000}"/>
    <cellStyle name="Heading 3 6 2 2 3" xfId="6095" xr:uid="{00000000-0005-0000-0000-0000F31A0000}"/>
    <cellStyle name="Heading 3 6 2 2 3 2" xfId="16282" xr:uid="{00000000-0005-0000-0000-0000F41A0000}"/>
    <cellStyle name="Heading 3 6 2 2 3 2 2" xfId="31114" xr:uid="{00000000-0005-0000-0000-0000F51A0000}"/>
    <cellStyle name="Heading 3 6 2 2 3 3" xfId="22628" xr:uid="{00000000-0005-0000-0000-0000F61A0000}"/>
    <cellStyle name="Heading 3 6 2 2 4" xfId="12352" xr:uid="{00000000-0005-0000-0000-0000F71A0000}"/>
    <cellStyle name="Heading 3 6 2 2 4 2" xfId="27184" xr:uid="{00000000-0005-0000-0000-0000F81A0000}"/>
    <cellStyle name="Heading 3 6 2 2 5" xfId="20340" xr:uid="{00000000-0005-0000-0000-0000F91A0000}"/>
    <cellStyle name="Heading 3 6 2 3" xfId="4281" xr:uid="{00000000-0005-0000-0000-0000FA1A0000}"/>
    <cellStyle name="Heading 3 6 2 3 2" xfId="8320" xr:uid="{00000000-0005-0000-0000-0000FB1A0000}"/>
    <cellStyle name="Heading 3 6 2 3 2 2" xfId="17603" xr:uid="{00000000-0005-0000-0000-0000FC1A0000}"/>
    <cellStyle name="Heading 3 6 2 3 2 2 2" xfId="32435" xr:uid="{00000000-0005-0000-0000-0000FD1A0000}"/>
    <cellStyle name="Heading 3 6 2 3 2 3" xfId="24011" xr:uid="{00000000-0005-0000-0000-0000FE1A0000}"/>
    <cellStyle name="Heading 3 6 2 3 3" xfId="14613" xr:uid="{00000000-0005-0000-0000-0000FF1A0000}"/>
    <cellStyle name="Heading 3 6 2 3 3 2" xfId="29445" xr:uid="{00000000-0005-0000-0000-0000001B0000}"/>
    <cellStyle name="Heading 3 6 2 3 4" xfId="21610" xr:uid="{00000000-0005-0000-0000-0000011B0000}"/>
    <cellStyle name="Heading 3 6 2 4" xfId="11881" xr:uid="{00000000-0005-0000-0000-0000021B0000}"/>
    <cellStyle name="Heading 3 6 2 4 2" xfId="26713" xr:uid="{00000000-0005-0000-0000-0000031B0000}"/>
    <cellStyle name="Heading 3 6 2 5" xfId="20279" xr:uid="{00000000-0005-0000-0000-0000041B0000}"/>
    <cellStyle name="Heading 3 6 3" xfId="1741" xr:uid="{00000000-0005-0000-0000-0000051B0000}"/>
    <cellStyle name="Heading 3 6 3 2" xfId="3237" xr:uid="{00000000-0005-0000-0000-0000061B0000}"/>
    <cellStyle name="Heading 3 6 3 2 2" xfId="7301" xr:uid="{00000000-0005-0000-0000-0000071B0000}"/>
    <cellStyle name="Heading 3 6 3 2 2 2" xfId="17060" xr:uid="{00000000-0005-0000-0000-0000081B0000}"/>
    <cellStyle name="Heading 3 6 3 2 2 2 2" xfId="31892" xr:uid="{00000000-0005-0000-0000-0000091B0000}"/>
    <cellStyle name="Heading 3 6 3 2 2 3" xfId="23341" xr:uid="{00000000-0005-0000-0000-00000A1B0000}"/>
    <cellStyle name="Heading 3 6 3 2 3" xfId="13574" xr:uid="{00000000-0005-0000-0000-00000B1B0000}"/>
    <cellStyle name="Heading 3 6 3 2 3 2" xfId="28406" xr:uid="{00000000-0005-0000-0000-00000C1B0000}"/>
    <cellStyle name="Heading 3 6 3 2 4" xfId="21029" xr:uid="{00000000-0005-0000-0000-00000D1B0000}"/>
    <cellStyle name="Heading 3 6 3 3" xfId="5873" xr:uid="{00000000-0005-0000-0000-00000E1B0000}"/>
    <cellStyle name="Heading 3 6 3 3 2" xfId="16065" xr:uid="{00000000-0005-0000-0000-00000F1B0000}"/>
    <cellStyle name="Heading 3 6 3 3 2 2" xfId="30897" xr:uid="{00000000-0005-0000-0000-0000101B0000}"/>
    <cellStyle name="Heading 3 6 3 3 3" xfId="22470" xr:uid="{00000000-0005-0000-0000-0000111B0000}"/>
    <cellStyle name="Heading 3 6 3 4" xfId="12135" xr:uid="{00000000-0005-0000-0000-0000121B0000}"/>
    <cellStyle name="Heading 3 6 3 4 2" xfId="26967" xr:uid="{00000000-0005-0000-0000-0000131B0000}"/>
    <cellStyle name="Heading 3 6 3 5" xfId="20294" xr:uid="{00000000-0005-0000-0000-0000141B0000}"/>
    <cellStyle name="Heading 3 6 4" xfId="3296" xr:uid="{00000000-0005-0000-0000-0000151B0000}"/>
    <cellStyle name="Heading 3 6 4 2" xfId="7360" xr:uid="{00000000-0005-0000-0000-0000161B0000}"/>
    <cellStyle name="Heading 3 6 4 2 2" xfId="17101" xr:uid="{00000000-0005-0000-0000-0000171B0000}"/>
    <cellStyle name="Heading 3 6 4 2 2 2" xfId="31933" xr:uid="{00000000-0005-0000-0000-0000181B0000}"/>
    <cellStyle name="Heading 3 6 4 2 3" xfId="23383" xr:uid="{00000000-0005-0000-0000-0000191B0000}"/>
    <cellStyle name="Heading 3 6 4 3" xfId="13633" xr:uid="{00000000-0005-0000-0000-00001A1B0000}"/>
    <cellStyle name="Heading 3 6 4 3 2" xfId="28465" xr:uid="{00000000-0005-0000-0000-00001B1B0000}"/>
    <cellStyle name="Heading 3 6 4 4" xfId="21070" xr:uid="{00000000-0005-0000-0000-00001C1B0000}"/>
    <cellStyle name="Heading 3 6 5" xfId="5377" xr:uid="{00000000-0005-0000-0000-00001D1B0000}"/>
    <cellStyle name="Heading 3 6 5 2" xfId="22138" xr:uid="{00000000-0005-0000-0000-00001E1B0000}"/>
    <cellStyle name="Heading 3 6 6" xfId="20264" xr:uid="{00000000-0005-0000-0000-00001F1B0000}"/>
    <cellStyle name="Heading 3 7" xfId="1079" xr:uid="{00000000-0005-0000-0000-0000201B0000}"/>
    <cellStyle name="Heading 3 7 2" xfId="1465" xr:uid="{00000000-0005-0000-0000-0000211B0000}"/>
    <cellStyle name="Heading 3 7 2 2" xfId="1966" xr:uid="{00000000-0005-0000-0000-0000221B0000}"/>
    <cellStyle name="Heading 3 7 2 2 2" xfId="3235" xr:uid="{00000000-0005-0000-0000-0000231B0000}"/>
    <cellStyle name="Heading 3 7 2 2 2 2" xfId="7299" xr:uid="{00000000-0005-0000-0000-0000241B0000}"/>
    <cellStyle name="Heading 3 7 2 2 2 2 2" xfId="17058" xr:uid="{00000000-0005-0000-0000-0000251B0000}"/>
    <cellStyle name="Heading 3 7 2 2 2 2 2 2" xfId="31890" xr:uid="{00000000-0005-0000-0000-0000261B0000}"/>
    <cellStyle name="Heading 3 7 2 2 2 2 3" xfId="23339" xr:uid="{00000000-0005-0000-0000-0000271B0000}"/>
    <cellStyle name="Heading 3 7 2 2 2 3" xfId="13572" xr:uid="{00000000-0005-0000-0000-0000281B0000}"/>
    <cellStyle name="Heading 3 7 2 2 2 3 2" xfId="28404" xr:uid="{00000000-0005-0000-0000-0000291B0000}"/>
    <cellStyle name="Heading 3 7 2 2 2 4" xfId="21027" xr:uid="{00000000-0005-0000-0000-00002A1B0000}"/>
    <cellStyle name="Heading 3 7 2 2 3" xfId="6096" xr:uid="{00000000-0005-0000-0000-00002B1B0000}"/>
    <cellStyle name="Heading 3 7 2 2 3 2" xfId="16283" xr:uid="{00000000-0005-0000-0000-00002C1B0000}"/>
    <cellStyle name="Heading 3 7 2 2 3 2 2" xfId="31115" xr:uid="{00000000-0005-0000-0000-00002D1B0000}"/>
    <cellStyle name="Heading 3 7 2 2 3 3" xfId="22629" xr:uid="{00000000-0005-0000-0000-00002E1B0000}"/>
    <cellStyle name="Heading 3 7 2 2 4" xfId="12353" xr:uid="{00000000-0005-0000-0000-00002F1B0000}"/>
    <cellStyle name="Heading 3 7 2 2 4 2" xfId="27185" xr:uid="{00000000-0005-0000-0000-0000301B0000}"/>
    <cellStyle name="Heading 3 7 2 2 5" xfId="20341" xr:uid="{00000000-0005-0000-0000-0000311B0000}"/>
    <cellStyle name="Heading 3 7 2 3" xfId="3231" xr:uid="{00000000-0005-0000-0000-0000321B0000}"/>
    <cellStyle name="Heading 3 7 2 3 2" xfId="7295" xr:uid="{00000000-0005-0000-0000-0000331B0000}"/>
    <cellStyle name="Heading 3 7 2 3 2 2" xfId="17055" xr:uid="{00000000-0005-0000-0000-0000341B0000}"/>
    <cellStyle name="Heading 3 7 2 3 2 2 2" xfId="31887" xr:uid="{00000000-0005-0000-0000-0000351B0000}"/>
    <cellStyle name="Heading 3 7 2 3 2 3" xfId="23335" xr:uid="{00000000-0005-0000-0000-0000361B0000}"/>
    <cellStyle name="Heading 3 7 2 3 3" xfId="13569" xr:uid="{00000000-0005-0000-0000-0000371B0000}"/>
    <cellStyle name="Heading 3 7 2 3 3 2" xfId="28401" xr:uid="{00000000-0005-0000-0000-0000381B0000}"/>
    <cellStyle name="Heading 3 7 2 3 4" xfId="21024" xr:uid="{00000000-0005-0000-0000-0000391B0000}"/>
    <cellStyle name="Heading 3 7 2 4" xfId="11882" xr:uid="{00000000-0005-0000-0000-00003A1B0000}"/>
    <cellStyle name="Heading 3 7 2 4 2" xfId="26714" xr:uid="{00000000-0005-0000-0000-00003B1B0000}"/>
    <cellStyle name="Heading 3 7 2 5" xfId="20280" xr:uid="{00000000-0005-0000-0000-00003C1B0000}"/>
    <cellStyle name="Heading 3 7 3" xfId="1742" xr:uid="{00000000-0005-0000-0000-00003D1B0000}"/>
    <cellStyle name="Heading 3 7 3 2" xfId="4270" xr:uid="{00000000-0005-0000-0000-00003E1B0000}"/>
    <cellStyle name="Heading 3 7 3 2 2" xfId="8309" xr:uid="{00000000-0005-0000-0000-00003F1B0000}"/>
    <cellStyle name="Heading 3 7 3 2 2 2" xfId="17596" xr:uid="{00000000-0005-0000-0000-0000401B0000}"/>
    <cellStyle name="Heading 3 7 3 2 2 2 2" xfId="32428" xr:uid="{00000000-0005-0000-0000-0000411B0000}"/>
    <cellStyle name="Heading 3 7 3 2 2 3" xfId="24003" xr:uid="{00000000-0005-0000-0000-0000421B0000}"/>
    <cellStyle name="Heading 3 7 3 2 3" xfId="14602" xr:uid="{00000000-0005-0000-0000-0000431B0000}"/>
    <cellStyle name="Heading 3 7 3 2 3 2" xfId="29434" xr:uid="{00000000-0005-0000-0000-0000441B0000}"/>
    <cellStyle name="Heading 3 7 3 2 4" xfId="21603" xr:uid="{00000000-0005-0000-0000-0000451B0000}"/>
    <cellStyle name="Heading 3 7 3 3" xfId="5874" xr:uid="{00000000-0005-0000-0000-0000461B0000}"/>
    <cellStyle name="Heading 3 7 3 3 2" xfId="16066" xr:uid="{00000000-0005-0000-0000-0000471B0000}"/>
    <cellStyle name="Heading 3 7 3 3 2 2" xfId="30898" xr:uid="{00000000-0005-0000-0000-0000481B0000}"/>
    <cellStyle name="Heading 3 7 3 3 3" xfId="22471" xr:uid="{00000000-0005-0000-0000-0000491B0000}"/>
    <cellStyle name="Heading 3 7 3 4" xfId="12136" xr:uid="{00000000-0005-0000-0000-00004A1B0000}"/>
    <cellStyle name="Heading 3 7 3 4 2" xfId="26968" xr:uid="{00000000-0005-0000-0000-00004B1B0000}"/>
    <cellStyle name="Heading 3 7 3 5" xfId="20295" xr:uid="{00000000-0005-0000-0000-00004C1B0000}"/>
    <cellStyle name="Heading 3 7 4" xfId="3150" xr:uid="{00000000-0005-0000-0000-00004D1B0000}"/>
    <cellStyle name="Heading 3 7 4 2" xfId="7214" xr:uid="{00000000-0005-0000-0000-00004E1B0000}"/>
    <cellStyle name="Heading 3 7 4 2 2" xfId="16993" xr:uid="{00000000-0005-0000-0000-00004F1B0000}"/>
    <cellStyle name="Heading 3 7 4 2 2 2" xfId="31825" xr:uid="{00000000-0005-0000-0000-0000501B0000}"/>
    <cellStyle name="Heading 3 7 4 2 3" xfId="23283" xr:uid="{00000000-0005-0000-0000-0000511B0000}"/>
    <cellStyle name="Heading 3 7 4 3" xfId="13488" xr:uid="{00000000-0005-0000-0000-0000521B0000}"/>
    <cellStyle name="Heading 3 7 4 3 2" xfId="28320" xr:uid="{00000000-0005-0000-0000-0000531B0000}"/>
    <cellStyle name="Heading 3 7 4 4" xfId="20974" xr:uid="{00000000-0005-0000-0000-0000541B0000}"/>
    <cellStyle name="Heading 3 7 5" xfId="5376" xr:uid="{00000000-0005-0000-0000-0000551B0000}"/>
    <cellStyle name="Heading 3 7 5 2" xfId="22137" xr:uid="{00000000-0005-0000-0000-0000561B0000}"/>
    <cellStyle name="Heading 3 7 6" xfId="20265" xr:uid="{00000000-0005-0000-0000-0000571B0000}"/>
    <cellStyle name="Heading 3 8" xfId="1080" xr:uid="{00000000-0005-0000-0000-0000581B0000}"/>
    <cellStyle name="Heading 3 8 2" xfId="1466" xr:uid="{00000000-0005-0000-0000-0000591B0000}"/>
    <cellStyle name="Heading 3 8 2 2" xfId="1967" xr:uid="{00000000-0005-0000-0000-00005A1B0000}"/>
    <cellStyle name="Heading 3 8 2 2 2" xfId="4276" xr:uid="{00000000-0005-0000-0000-00005B1B0000}"/>
    <cellStyle name="Heading 3 8 2 2 2 2" xfId="8315" xr:uid="{00000000-0005-0000-0000-00005C1B0000}"/>
    <cellStyle name="Heading 3 8 2 2 2 2 2" xfId="17599" xr:uid="{00000000-0005-0000-0000-00005D1B0000}"/>
    <cellStyle name="Heading 3 8 2 2 2 2 2 2" xfId="32431" xr:uid="{00000000-0005-0000-0000-00005E1B0000}"/>
    <cellStyle name="Heading 3 8 2 2 2 2 3" xfId="24009" xr:uid="{00000000-0005-0000-0000-00005F1B0000}"/>
    <cellStyle name="Heading 3 8 2 2 2 3" xfId="14608" xr:uid="{00000000-0005-0000-0000-0000601B0000}"/>
    <cellStyle name="Heading 3 8 2 2 2 3 2" xfId="29440" xr:uid="{00000000-0005-0000-0000-0000611B0000}"/>
    <cellStyle name="Heading 3 8 2 2 2 4" xfId="21608" xr:uid="{00000000-0005-0000-0000-0000621B0000}"/>
    <cellStyle name="Heading 3 8 2 2 3" xfId="6097" xr:uid="{00000000-0005-0000-0000-0000631B0000}"/>
    <cellStyle name="Heading 3 8 2 2 3 2" xfId="16284" xr:uid="{00000000-0005-0000-0000-0000641B0000}"/>
    <cellStyle name="Heading 3 8 2 2 3 2 2" xfId="31116" xr:uid="{00000000-0005-0000-0000-0000651B0000}"/>
    <cellStyle name="Heading 3 8 2 2 3 3" xfId="22630" xr:uid="{00000000-0005-0000-0000-0000661B0000}"/>
    <cellStyle name="Heading 3 8 2 2 4" xfId="12354" xr:uid="{00000000-0005-0000-0000-0000671B0000}"/>
    <cellStyle name="Heading 3 8 2 2 4 2" xfId="27186" xr:uid="{00000000-0005-0000-0000-0000681B0000}"/>
    <cellStyle name="Heading 3 8 2 2 5" xfId="20342" xr:uid="{00000000-0005-0000-0000-0000691B0000}"/>
    <cellStyle name="Heading 3 8 2 3" xfId="4267" xr:uid="{00000000-0005-0000-0000-00006A1B0000}"/>
    <cellStyle name="Heading 3 8 2 3 2" xfId="8306" xr:uid="{00000000-0005-0000-0000-00006B1B0000}"/>
    <cellStyle name="Heading 3 8 2 3 2 2" xfId="17594" xr:uid="{00000000-0005-0000-0000-00006C1B0000}"/>
    <cellStyle name="Heading 3 8 2 3 2 2 2" xfId="32426" xr:uid="{00000000-0005-0000-0000-00006D1B0000}"/>
    <cellStyle name="Heading 3 8 2 3 2 3" xfId="24000" xr:uid="{00000000-0005-0000-0000-00006E1B0000}"/>
    <cellStyle name="Heading 3 8 2 3 3" xfId="14599" xr:uid="{00000000-0005-0000-0000-00006F1B0000}"/>
    <cellStyle name="Heading 3 8 2 3 3 2" xfId="29431" xr:uid="{00000000-0005-0000-0000-0000701B0000}"/>
    <cellStyle name="Heading 3 8 2 3 4" xfId="21600" xr:uid="{00000000-0005-0000-0000-0000711B0000}"/>
    <cellStyle name="Heading 3 8 2 4" xfId="11883" xr:uid="{00000000-0005-0000-0000-0000721B0000}"/>
    <cellStyle name="Heading 3 8 2 4 2" xfId="26715" xr:uid="{00000000-0005-0000-0000-0000731B0000}"/>
    <cellStyle name="Heading 3 8 2 5" xfId="20281" xr:uid="{00000000-0005-0000-0000-0000741B0000}"/>
    <cellStyle name="Heading 3 8 3" xfId="1743" xr:uid="{00000000-0005-0000-0000-0000751B0000}"/>
    <cellStyle name="Heading 3 8 3 2" xfId="3213" xr:uid="{00000000-0005-0000-0000-0000761B0000}"/>
    <cellStyle name="Heading 3 8 3 2 2" xfId="7277" xr:uid="{00000000-0005-0000-0000-0000771B0000}"/>
    <cellStyle name="Heading 3 8 3 2 2 2" xfId="17043" xr:uid="{00000000-0005-0000-0000-0000781B0000}"/>
    <cellStyle name="Heading 3 8 3 2 2 2 2" xfId="31875" xr:uid="{00000000-0005-0000-0000-0000791B0000}"/>
    <cellStyle name="Heading 3 8 3 2 2 3" xfId="23322" xr:uid="{00000000-0005-0000-0000-00007A1B0000}"/>
    <cellStyle name="Heading 3 8 3 2 3" xfId="13551" xr:uid="{00000000-0005-0000-0000-00007B1B0000}"/>
    <cellStyle name="Heading 3 8 3 2 3 2" xfId="28383" xr:uid="{00000000-0005-0000-0000-00007C1B0000}"/>
    <cellStyle name="Heading 3 8 3 2 4" xfId="21012" xr:uid="{00000000-0005-0000-0000-00007D1B0000}"/>
    <cellStyle name="Heading 3 8 3 3" xfId="5875" xr:uid="{00000000-0005-0000-0000-00007E1B0000}"/>
    <cellStyle name="Heading 3 8 3 3 2" xfId="16067" xr:uid="{00000000-0005-0000-0000-00007F1B0000}"/>
    <cellStyle name="Heading 3 8 3 3 2 2" xfId="30899" xr:uid="{00000000-0005-0000-0000-0000801B0000}"/>
    <cellStyle name="Heading 3 8 3 3 3" xfId="22472" xr:uid="{00000000-0005-0000-0000-0000811B0000}"/>
    <cellStyle name="Heading 3 8 3 4" xfId="12137" xr:uid="{00000000-0005-0000-0000-0000821B0000}"/>
    <cellStyle name="Heading 3 8 3 4 2" xfId="26969" xr:uid="{00000000-0005-0000-0000-0000831B0000}"/>
    <cellStyle name="Heading 3 8 3 5" xfId="20296" xr:uid="{00000000-0005-0000-0000-0000841B0000}"/>
    <cellStyle name="Heading 3 8 4" xfId="3266" xr:uid="{00000000-0005-0000-0000-0000851B0000}"/>
    <cellStyle name="Heading 3 8 4 2" xfId="7330" xr:uid="{00000000-0005-0000-0000-0000861B0000}"/>
    <cellStyle name="Heading 3 8 4 2 2" xfId="17075" xr:uid="{00000000-0005-0000-0000-0000871B0000}"/>
    <cellStyle name="Heading 3 8 4 2 2 2" xfId="31907" xr:uid="{00000000-0005-0000-0000-0000881B0000}"/>
    <cellStyle name="Heading 3 8 4 2 3" xfId="23364" xr:uid="{00000000-0005-0000-0000-0000891B0000}"/>
    <cellStyle name="Heading 3 8 4 3" xfId="13603" xr:uid="{00000000-0005-0000-0000-00008A1B0000}"/>
    <cellStyle name="Heading 3 8 4 3 2" xfId="28435" xr:uid="{00000000-0005-0000-0000-00008B1B0000}"/>
    <cellStyle name="Heading 3 8 4 4" xfId="21051" xr:uid="{00000000-0005-0000-0000-00008C1B0000}"/>
    <cellStyle name="Heading 3 8 5" xfId="5375" xr:uid="{00000000-0005-0000-0000-00008D1B0000}"/>
    <cellStyle name="Heading 3 8 5 2" xfId="22136" xr:uid="{00000000-0005-0000-0000-00008E1B0000}"/>
    <cellStyle name="Heading 3 8 6" xfId="20266" xr:uid="{00000000-0005-0000-0000-00008F1B0000}"/>
    <cellStyle name="Heading 3 9" xfId="1066" xr:uid="{00000000-0005-0000-0000-0000901B0000}"/>
    <cellStyle name="Heading 3 9 2" xfId="1453" xr:uid="{00000000-0005-0000-0000-0000911B0000}"/>
    <cellStyle name="Heading 3 9 2 2" xfId="1954" xr:uid="{00000000-0005-0000-0000-0000921B0000}"/>
    <cellStyle name="Heading 3 9 2 2 2" xfId="6084" xr:uid="{00000000-0005-0000-0000-0000931B0000}"/>
    <cellStyle name="Heading 3 9 2 2 2 2" xfId="16271" xr:uid="{00000000-0005-0000-0000-0000941B0000}"/>
    <cellStyle name="Heading 3 9 2 2 2 2 2" xfId="31103" xr:uid="{00000000-0005-0000-0000-0000951B0000}"/>
    <cellStyle name="Heading 3 9 2 2 2 3" xfId="22617" xr:uid="{00000000-0005-0000-0000-0000961B0000}"/>
    <cellStyle name="Heading 3 9 2 2 3" xfId="12341" xr:uid="{00000000-0005-0000-0000-0000971B0000}"/>
    <cellStyle name="Heading 3 9 2 2 3 2" xfId="27173" xr:uid="{00000000-0005-0000-0000-0000981B0000}"/>
    <cellStyle name="Heading 3 9 2 2 4" xfId="20329" xr:uid="{00000000-0005-0000-0000-0000991B0000}"/>
    <cellStyle name="Heading 3 9 2 3" xfId="4011" xr:uid="{00000000-0005-0000-0000-00009A1B0000}"/>
    <cellStyle name="Heading 3 9 2 3 2" xfId="8058" xr:uid="{00000000-0005-0000-0000-00009B1B0000}"/>
    <cellStyle name="Heading 3 9 2 3 2 2" xfId="17474" xr:uid="{00000000-0005-0000-0000-00009C1B0000}"/>
    <cellStyle name="Heading 3 9 2 3 2 2 2" xfId="32306" xr:uid="{00000000-0005-0000-0000-00009D1B0000}"/>
    <cellStyle name="Heading 3 9 2 3 2 3" xfId="23835" xr:uid="{00000000-0005-0000-0000-00009E1B0000}"/>
    <cellStyle name="Heading 3 9 2 3 3" xfId="14343" xr:uid="{00000000-0005-0000-0000-00009F1B0000}"/>
    <cellStyle name="Heading 3 9 2 3 3 2" xfId="29175" xr:uid="{00000000-0005-0000-0000-0000A01B0000}"/>
    <cellStyle name="Heading 3 9 2 3 4" xfId="21473" xr:uid="{00000000-0005-0000-0000-0000A11B0000}"/>
    <cellStyle name="Heading 3 9 2 4" xfId="11870" xr:uid="{00000000-0005-0000-0000-0000A21B0000}"/>
    <cellStyle name="Heading 3 9 2 4 2" xfId="26702" xr:uid="{00000000-0005-0000-0000-0000A31B0000}"/>
    <cellStyle name="Heading 3 9 2 5" xfId="20268" xr:uid="{00000000-0005-0000-0000-0000A41B0000}"/>
    <cellStyle name="Heading 3 9 3" xfId="1729" xr:uid="{00000000-0005-0000-0000-0000A51B0000}"/>
    <cellStyle name="Heading 3 9 3 2" xfId="5861" xr:uid="{00000000-0005-0000-0000-0000A61B0000}"/>
    <cellStyle name="Heading 3 9 3 2 2" xfId="16053" xr:uid="{00000000-0005-0000-0000-0000A71B0000}"/>
    <cellStyle name="Heading 3 9 3 2 2 2" xfId="30885" xr:uid="{00000000-0005-0000-0000-0000A81B0000}"/>
    <cellStyle name="Heading 3 9 3 2 3" xfId="22458" xr:uid="{00000000-0005-0000-0000-0000A91B0000}"/>
    <cellStyle name="Heading 3 9 3 3" xfId="12123" xr:uid="{00000000-0005-0000-0000-0000AA1B0000}"/>
    <cellStyle name="Heading 3 9 3 3 2" xfId="26955" xr:uid="{00000000-0005-0000-0000-0000AB1B0000}"/>
    <cellStyle name="Heading 3 9 3 4" xfId="20282" xr:uid="{00000000-0005-0000-0000-0000AC1B0000}"/>
    <cellStyle name="Heading 3 9 4" xfId="3181" xr:uid="{00000000-0005-0000-0000-0000AD1B0000}"/>
    <cellStyle name="Heading 3 9 4 2" xfId="7245" xr:uid="{00000000-0005-0000-0000-0000AE1B0000}"/>
    <cellStyle name="Heading 3 9 4 2 2" xfId="17017" xr:uid="{00000000-0005-0000-0000-0000AF1B0000}"/>
    <cellStyle name="Heading 3 9 4 2 2 2" xfId="31849" xr:uid="{00000000-0005-0000-0000-0000B01B0000}"/>
    <cellStyle name="Heading 3 9 4 2 3" xfId="23303" xr:uid="{00000000-0005-0000-0000-0000B11B0000}"/>
    <cellStyle name="Heading 3 9 4 3" xfId="13519" xr:uid="{00000000-0005-0000-0000-0000B21B0000}"/>
    <cellStyle name="Heading 3 9 4 3 2" xfId="28351" xr:uid="{00000000-0005-0000-0000-0000B31B0000}"/>
    <cellStyle name="Heading 3 9 4 4" xfId="20993" xr:uid="{00000000-0005-0000-0000-0000B41B0000}"/>
    <cellStyle name="Heading 3 9 5" xfId="5389" xr:uid="{00000000-0005-0000-0000-0000B51B0000}"/>
    <cellStyle name="Heading 3 9 5 2" xfId="22150" xr:uid="{00000000-0005-0000-0000-0000B61B0000}"/>
    <cellStyle name="Heading 3 9 6" xfId="20252" xr:uid="{00000000-0005-0000-0000-0000B71B0000}"/>
    <cellStyle name="Heading 4 2" xfId="1082" xr:uid="{00000000-0005-0000-0000-0000B81B0000}"/>
    <cellStyle name="Heading 4 2 2" xfId="1083" xr:uid="{00000000-0005-0000-0000-0000B91B0000}"/>
    <cellStyle name="Heading 4 2 3" xfId="1084" xr:uid="{00000000-0005-0000-0000-0000BA1B0000}"/>
    <cellStyle name="Heading 4 2 4" xfId="1085" xr:uid="{00000000-0005-0000-0000-0000BB1B0000}"/>
    <cellStyle name="Heading 4 2 5" xfId="1086" xr:uid="{00000000-0005-0000-0000-0000BC1B0000}"/>
    <cellStyle name="Heading 4 2 6" xfId="1087" xr:uid="{00000000-0005-0000-0000-0000BD1B0000}"/>
    <cellStyle name="Heading 4 2 7" xfId="1088" xr:uid="{00000000-0005-0000-0000-0000BE1B0000}"/>
    <cellStyle name="Heading 4 2 8" xfId="1089" xr:uid="{00000000-0005-0000-0000-0000BF1B0000}"/>
    <cellStyle name="Heading 4 3" xfId="1090" xr:uid="{00000000-0005-0000-0000-0000C01B0000}"/>
    <cellStyle name="Heading 4 4" xfId="1091" xr:uid="{00000000-0005-0000-0000-0000C11B0000}"/>
    <cellStyle name="Heading 4 5" xfId="1092" xr:uid="{00000000-0005-0000-0000-0000C21B0000}"/>
    <cellStyle name="Heading 4 6" xfId="1093" xr:uid="{00000000-0005-0000-0000-0000C31B0000}"/>
    <cellStyle name="Heading 4 7" xfId="1094" xr:uid="{00000000-0005-0000-0000-0000C41B0000}"/>
    <cellStyle name="Heading 4 8" xfId="1095" xr:uid="{00000000-0005-0000-0000-0000C51B0000}"/>
    <cellStyle name="Heading 4 9" xfId="1081" xr:uid="{00000000-0005-0000-0000-0000C61B0000}"/>
    <cellStyle name="Headline" xfId="1096" xr:uid="{00000000-0005-0000-0000-0000C71B0000}"/>
    <cellStyle name="Hyperlink" xfId="33024" builtinId="8"/>
    <cellStyle name="Hyperlink 2" xfId="3" xr:uid="{00000000-0005-0000-0000-0000C91B0000}"/>
    <cellStyle name="Hyperlink 2 2" xfId="1098" xr:uid="{00000000-0005-0000-0000-0000CA1B0000}"/>
    <cellStyle name="Hyperlink 2 3" xfId="1099" xr:uid="{00000000-0005-0000-0000-0000CB1B0000}"/>
    <cellStyle name="Hyperlink 2 4" xfId="1100" xr:uid="{00000000-0005-0000-0000-0000CC1B0000}"/>
    <cellStyle name="Hyperlink 2 5" xfId="1101" xr:uid="{00000000-0005-0000-0000-0000CD1B0000}"/>
    <cellStyle name="Hyperlink 2 6" xfId="1102" xr:uid="{00000000-0005-0000-0000-0000CE1B0000}"/>
    <cellStyle name="Hyperlink 2 7" xfId="1103" xr:uid="{00000000-0005-0000-0000-0000CF1B0000}"/>
    <cellStyle name="Hyperlink 2 8" xfId="1104" xr:uid="{00000000-0005-0000-0000-0000D01B0000}"/>
    <cellStyle name="Hyperlink 2 9" xfId="1097" xr:uid="{00000000-0005-0000-0000-0000D11B0000}"/>
    <cellStyle name="Hyperlink 3" xfId="1105" xr:uid="{00000000-0005-0000-0000-0000D21B0000}"/>
    <cellStyle name="Hyperlink 4" xfId="1106" xr:uid="{00000000-0005-0000-0000-0000D31B0000}"/>
    <cellStyle name="Hyperlink 5" xfId="1107" xr:uid="{00000000-0005-0000-0000-0000D41B0000}"/>
    <cellStyle name="Hyperlink 6" xfId="1108" xr:uid="{00000000-0005-0000-0000-0000D51B0000}"/>
    <cellStyle name="Hyperlink 7" xfId="1109" xr:uid="{00000000-0005-0000-0000-0000D61B0000}"/>
    <cellStyle name="Hyperlink 8" xfId="1110" xr:uid="{00000000-0005-0000-0000-0000D71B0000}"/>
    <cellStyle name="Input 10" xfId="1111" xr:uid="{00000000-0005-0000-0000-0000D81B0000}"/>
    <cellStyle name="Input 10 10" xfId="2282" xr:uid="{00000000-0005-0000-0000-0000D91B0000}"/>
    <cellStyle name="Input 10 10 2" xfId="6394" xr:uid="{00000000-0005-0000-0000-0000DA1B0000}"/>
    <cellStyle name="Input 10 10 2 2" xfId="22796" xr:uid="{00000000-0005-0000-0000-0000DB1B0000}"/>
    <cellStyle name="Input 10 10 3" xfId="12622" xr:uid="{00000000-0005-0000-0000-0000DC1B0000}"/>
    <cellStyle name="Input 10 10 3 2" xfId="27454" xr:uid="{00000000-0005-0000-0000-0000DD1B0000}"/>
    <cellStyle name="Input 10 10 4" xfId="20448" xr:uid="{00000000-0005-0000-0000-0000DE1B0000}"/>
    <cellStyle name="Input 10 11" xfId="5248" xr:uid="{00000000-0005-0000-0000-0000DF1B0000}"/>
    <cellStyle name="Input 10 11 2" xfId="15564" xr:uid="{00000000-0005-0000-0000-0000E01B0000}"/>
    <cellStyle name="Input 10 11 2 2" xfId="30396" xr:uid="{00000000-0005-0000-0000-0000E11B0000}"/>
    <cellStyle name="Input 10 11 3" xfId="22105" xr:uid="{00000000-0005-0000-0000-0000E21B0000}"/>
    <cellStyle name="Input 10 12" xfId="5406" xr:uid="{00000000-0005-0000-0000-0000E31B0000}"/>
    <cellStyle name="Input 10 12 2" xfId="15642" xr:uid="{00000000-0005-0000-0000-0000E41B0000}"/>
    <cellStyle name="Input 10 12 2 2" xfId="30474" xr:uid="{00000000-0005-0000-0000-0000E51B0000}"/>
    <cellStyle name="Input 10 12 3" xfId="22167" xr:uid="{00000000-0005-0000-0000-0000E61B0000}"/>
    <cellStyle name="Input 10 13" xfId="9385" xr:uid="{00000000-0005-0000-0000-0000E71B0000}"/>
    <cellStyle name="Input 10 13 2" xfId="24691" xr:uid="{00000000-0005-0000-0000-0000E81B0000}"/>
    <cellStyle name="Input 10 14" xfId="5374" xr:uid="{00000000-0005-0000-0000-0000E91B0000}"/>
    <cellStyle name="Input 10 14 2" xfId="18248" xr:uid="{00000000-0005-0000-0000-0000EA1B0000}"/>
    <cellStyle name="Input 10 2" xfId="1318" xr:uid="{00000000-0005-0000-0000-0000EB1B0000}"/>
    <cellStyle name="Input 10 2 2" xfId="1822" xr:uid="{00000000-0005-0000-0000-0000EC1B0000}"/>
    <cellStyle name="Input 10 2 2 2" xfId="3378" xr:uid="{00000000-0005-0000-0000-0000ED1B0000}"/>
    <cellStyle name="Input 10 2 2 2 2" xfId="7441" xr:uid="{00000000-0005-0000-0000-0000EE1B0000}"/>
    <cellStyle name="Input 10 2 2 2 2 2" xfId="23436" xr:uid="{00000000-0005-0000-0000-0000EF1B0000}"/>
    <cellStyle name="Input 10 2 2 2 3" xfId="13715" xr:uid="{00000000-0005-0000-0000-0000F01B0000}"/>
    <cellStyle name="Input 10 2 2 2 3 2" xfId="28547" xr:uid="{00000000-0005-0000-0000-0000F11B0000}"/>
    <cellStyle name="Input 10 2 2 2 4" xfId="21118" xr:uid="{00000000-0005-0000-0000-0000F21B0000}"/>
    <cellStyle name="Input 10 2 2 3" xfId="4800" xr:uid="{00000000-0005-0000-0000-0000F31B0000}"/>
    <cellStyle name="Input 10 2 2 3 2" xfId="8839" xr:uid="{00000000-0005-0000-0000-0000F41B0000}"/>
    <cellStyle name="Input 10 2 2 3 2 2" xfId="24337" xr:uid="{00000000-0005-0000-0000-0000F51B0000}"/>
    <cellStyle name="Input 10 2 2 3 3" xfId="15124" xr:uid="{00000000-0005-0000-0000-0000F61B0000}"/>
    <cellStyle name="Input 10 2 2 3 3 2" xfId="29956" xr:uid="{00000000-0005-0000-0000-0000F71B0000}"/>
    <cellStyle name="Input 10 2 2 3 4" xfId="21875" xr:uid="{00000000-0005-0000-0000-0000F81B0000}"/>
    <cellStyle name="Input 10 2 2 4" xfId="2790" xr:uid="{00000000-0005-0000-0000-0000F91B0000}"/>
    <cellStyle name="Input 10 2 2 4 2" xfId="6881" xr:uid="{00000000-0005-0000-0000-0000FA1B0000}"/>
    <cellStyle name="Input 10 2 2 4 2 2" xfId="23088" xr:uid="{00000000-0005-0000-0000-0000FB1B0000}"/>
    <cellStyle name="Input 10 2 2 4 3" xfId="13128" xr:uid="{00000000-0005-0000-0000-0000FC1B0000}"/>
    <cellStyle name="Input 10 2 2 4 3 2" xfId="27960" xr:uid="{00000000-0005-0000-0000-0000FD1B0000}"/>
    <cellStyle name="Input 10 2 2 4 4" xfId="20748" xr:uid="{00000000-0005-0000-0000-0000FE1B0000}"/>
    <cellStyle name="Input 10 2 2 5" xfId="5954" xr:uid="{00000000-0005-0000-0000-0000FF1B0000}"/>
    <cellStyle name="Input 10 2 2 5 2" xfId="16146" xr:uid="{00000000-0005-0000-0000-0000001C0000}"/>
    <cellStyle name="Input 10 2 2 5 2 2" xfId="30978" xr:uid="{00000000-0005-0000-0000-0000011C0000}"/>
    <cellStyle name="Input 10 2 2 5 3" xfId="22519" xr:uid="{00000000-0005-0000-0000-0000021C0000}"/>
    <cellStyle name="Input 10 2 2 6" xfId="12216" xr:uid="{00000000-0005-0000-0000-0000031C0000}"/>
    <cellStyle name="Input 10 2 2 6 2" xfId="27048" xr:uid="{00000000-0005-0000-0000-0000041C0000}"/>
    <cellStyle name="Input 10 2 2 7" xfId="9812" xr:uid="{00000000-0005-0000-0000-0000051C0000}"/>
    <cellStyle name="Input 10 2 2 7 2" xfId="20063" xr:uid="{00000000-0005-0000-0000-0000061C0000}"/>
    <cellStyle name="Input 10 2 3" xfId="4080" xr:uid="{00000000-0005-0000-0000-0000071C0000}"/>
    <cellStyle name="Input 10 2 3 2" xfId="8126" xr:uid="{00000000-0005-0000-0000-0000081C0000}"/>
    <cellStyle name="Input 10 2 3 2 2" xfId="23877" xr:uid="{00000000-0005-0000-0000-0000091C0000}"/>
    <cellStyle name="Input 10 2 3 3" xfId="14412" xr:uid="{00000000-0005-0000-0000-00000A1C0000}"/>
    <cellStyle name="Input 10 2 3 3 2" xfId="29244" xr:uid="{00000000-0005-0000-0000-00000B1C0000}"/>
    <cellStyle name="Input 10 2 3 4" xfId="21507" xr:uid="{00000000-0005-0000-0000-00000C1C0000}"/>
    <cellStyle name="Input 10 2 4" xfId="4380" xr:uid="{00000000-0005-0000-0000-00000D1C0000}"/>
    <cellStyle name="Input 10 2 4 2" xfId="8419" xr:uid="{00000000-0005-0000-0000-00000E1C0000}"/>
    <cellStyle name="Input 10 2 4 2 2" xfId="24077" xr:uid="{00000000-0005-0000-0000-00000F1C0000}"/>
    <cellStyle name="Input 10 2 4 3" xfId="14709" xr:uid="{00000000-0005-0000-0000-0000101C0000}"/>
    <cellStyle name="Input 10 2 4 3 2" xfId="29541" xr:uid="{00000000-0005-0000-0000-0000111C0000}"/>
    <cellStyle name="Input 10 2 4 4" xfId="21645" xr:uid="{00000000-0005-0000-0000-0000121C0000}"/>
    <cellStyle name="Input 10 2 5" xfId="2370" xr:uid="{00000000-0005-0000-0000-0000131C0000}"/>
    <cellStyle name="Input 10 2 5 2" xfId="6482" xr:uid="{00000000-0005-0000-0000-0000141C0000}"/>
    <cellStyle name="Input 10 2 5 2 2" xfId="22852" xr:uid="{00000000-0005-0000-0000-0000151C0000}"/>
    <cellStyle name="Input 10 2 5 3" xfId="12709" xr:uid="{00000000-0005-0000-0000-0000161C0000}"/>
    <cellStyle name="Input 10 2 5 3 2" xfId="27541" xr:uid="{00000000-0005-0000-0000-0000171C0000}"/>
    <cellStyle name="Input 10 2 5 4" xfId="20494" xr:uid="{00000000-0005-0000-0000-0000181C0000}"/>
    <cellStyle name="Input 10 2 6" xfId="5495" xr:uid="{00000000-0005-0000-0000-0000191C0000}"/>
    <cellStyle name="Input 10 2 6 2" xfId="15730" xr:uid="{00000000-0005-0000-0000-00001A1C0000}"/>
    <cellStyle name="Input 10 2 6 2 2" xfId="30562" xr:uid="{00000000-0005-0000-0000-00001B1C0000}"/>
    <cellStyle name="Input 10 2 6 3" xfId="22223" xr:uid="{00000000-0005-0000-0000-00001C1C0000}"/>
    <cellStyle name="Input 10 2 7" xfId="11745" xr:uid="{00000000-0005-0000-0000-00001D1C0000}"/>
    <cellStyle name="Input 10 2 7 2" xfId="26577" xr:uid="{00000000-0005-0000-0000-00001E1C0000}"/>
    <cellStyle name="Input 10 2 8" xfId="9416" xr:uid="{00000000-0005-0000-0000-00001F1C0000}"/>
    <cellStyle name="Input 10 2 8 2" xfId="19720" xr:uid="{00000000-0005-0000-0000-0000201C0000}"/>
    <cellStyle name="Input 10 3" xfId="1476" xr:uid="{00000000-0005-0000-0000-0000211C0000}"/>
    <cellStyle name="Input 10 3 2" xfId="1977" xr:uid="{00000000-0005-0000-0000-0000221C0000}"/>
    <cellStyle name="Input 10 3 2 2" xfId="4143" xr:uid="{00000000-0005-0000-0000-0000231C0000}"/>
    <cellStyle name="Input 10 3 2 2 2" xfId="8187" xr:uid="{00000000-0005-0000-0000-0000241C0000}"/>
    <cellStyle name="Input 10 3 2 2 2 2" xfId="23916" xr:uid="{00000000-0005-0000-0000-0000251C0000}"/>
    <cellStyle name="Input 10 3 2 2 3" xfId="14475" xr:uid="{00000000-0005-0000-0000-0000261C0000}"/>
    <cellStyle name="Input 10 3 2 2 3 2" xfId="29307" xr:uid="{00000000-0005-0000-0000-0000271C0000}"/>
    <cellStyle name="Input 10 3 2 2 4" xfId="21543" xr:uid="{00000000-0005-0000-0000-0000281C0000}"/>
    <cellStyle name="Input 10 3 2 3" xfId="4941" xr:uid="{00000000-0005-0000-0000-0000291C0000}"/>
    <cellStyle name="Input 10 3 2 3 2" xfId="8980" xr:uid="{00000000-0005-0000-0000-00002A1C0000}"/>
    <cellStyle name="Input 10 3 2 3 2 2" xfId="24446" xr:uid="{00000000-0005-0000-0000-00002B1C0000}"/>
    <cellStyle name="Input 10 3 2 3 3" xfId="15263" xr:uid="{00000000-0005-0000-0000-00002C1C0000}"/>
    <cellStyle name="Input 10 3 2 3 3 2" xfId="30095" xr:uid="{00000000-0005-0000-0000-00002D1C0000}"/>
    <cellStyle name="Input 10 3 2 3 4" xfId="21976" xr:uid="{00000000-0005-0000-0000-00002E1C0000}"/>
    <cellStyle name="Input 10 3 2 4" xfId="2931" xr:uid="{00000000-0005-0000-0000-00002F1C0000}"/>
    <cellStyle name="Input 10 3 2 4 2" xfId="7015" xr:uid="{00000000-0005-0000-0000-0000301C0000}"/>
    <cellStyle name="Input 10 3 2 4 2 2" xfId="23189" xr:uid="{00000000-0005-0000-0000-0000311C0000}"/>
    <cellStyle name="Input 10 3 2 4 3" xfId="13269" xr:uid="{00000000-0005-0000-0000-0000321C0000}"/>
    <cellStyle name="Input 10 3 2 4 3 2" xfId="28101" xr:uid="{00000000-0005-0000-0000-0000331C0000}"/>
    <cellStyle name="Input 10 3 2 4 4" xfId="20857" xr:uid="{00000000-0005-0000-0000-0000341C0000}"/>
    <cellStyle name="Input 10 3 2 5" xfId="6107" xr:uid="{00000000-0005-0000-0000-0000351C0000}"/>
    <cellStyle name="Input 10 3 2 5 2" xfId="16294" xr:uid="{00000000-0005-0000-0000-0000361C0000}"/>
    <cellStyle name="Input 10 3 2 5 2 2" xfId="31126" xr:uid="{00000000-0005-0000-0000-0000371C0000}"/>
    <cellStyle name="Input 10 3 2 5 3" xfId="22640" xr:uid="{00000000-0005-0000-0000-0000381C0000}"/>
    <cellStyle name="Input 10 3 2 6" xfId="12364" xr:uid="{00000000-0005-0000-0000-0000391C0000}"/>
    <cellStyle name="Input 10 3 2 6 2" xfId="27196" xr:uid="{00000000-0005-0000-0000-00003A1C0000}"/>
    <cellStyle name="Input 10 3 2 7" xfId="9946" xr:uid="{00000000-0005-0000-0000-00003B1C0000}"/>
    <cellStyle name="Input 10 3 2 7 2" xfId="20148" xr:uid="{00000000-0005-0000-0000-00003C1C0000}"/>
    <cellStyle name="Input 10 3 3" xfId="3338" xr:uid="{00000000-0005-0000-0000-00003D1C0000}"/>
    <cellStyle name="Input 10 3 3 2" xfId="7401" xr:uid="{00000000-0005-0000-0000-00003E1C0000}"/>
    <cellStyle name="Input 10 3 3 2 2" xfId="23406" xr:uid="{00000000-0005-0000-0000-00003F1C0000}"/>
    <cellStyle name="Input 10 3 3 3" xfId="13675" xr:uid="{00000000-0005-0000-0000-0000401C0000}"/>
    <cellStyle name="Input 10 3 3 3 2" xfId="28507" xr:uid="{00000000-0005-0000-0000-0000411C0000}"/>
    <cellStyle name="Input 10 3 3 4" xfId="21093" xr:uid="{00000000-0005-0000-0000-0000421C0000}"/>
    <cellStyle name="Input 10 3 4" xfId="4521" xr:uid="{00000000-0005-0000-0000-0000431C0000}"/>
    <cellStyle name="Input 10 3 4 2" xfId="8560" xr:uid="{00000000-0005-0000-0000-0000441C0000}"/>
    <cellStyle name="Input 10 3 4 2 2" xfId="24186" xr:uid="{00000000-0005-0000-0000-0000451C0000}"/>
    <cellStyle name="Input 10 3 4 3" xfId="14848" xr:uid="{00000000-0005-0000-0000-0000461C0000}"/>
    <cellStyle name="Input 10 3 4 3 2" xfId="29680" xr:uid="{00000000-0005-0000-0000-0000471C0000}"/>
    <cellStyle name="Input 10 3 4 4" xfId="21746" xr:uid="{00000000-0005-0000-0000-0000481C0000}"/>
    <cellStyle name="Input 10 3 5" xfId="2511" xr:uid="{00000000-0005-0000-0000-0000491C0000}"/>
    <cellStyle name="Input 10 3 5 2" xfId="6617" xr:uid="{00000000-0005-0000-0000-00004A1C0000}"/>
    <cellStyle name="Input 10 3 5 2 2" xfId="22955" xr:uid="{00000000-0005-0000-0000-00004B1C0000}"/>
    <cellStyle name="Input 10 3 5 3" xfId="12849" xr:uid="{00000000-0005-0000-0000-00004C1C0000}"/>
    <cellStyle name="Input 10 3 5 3 2" xfId="27681" xr:uid="{00000000-0005-0000-0000-00004D1C0000}"/>
    <cellStyle name="Input 10 3 5 4" xfId="20601" xr:uid="{00000000-0005-0000-0000-00004E1C0000}"/>
    <cellStyle name="Input 10 3 6" xfId="5634" xr:uid="{00000000-0005-0000-0000-00004F1C0000}"/>
    <cellStyle name="Input 10 3 6 2" xfId="15869" xr:uid="{00000000-0005-0000-0000-0000501C0000}"/>
    <cellStyle name="Input 10 3 6 2 2" xfId="30701" xr:uid="{00000000-0005-0000-0000-0000511C0000}"/>
    <cellStyle name="Input 10 3 6 3" xfId="22330" xr:uid="{00000000-0005-0000-0000-0000521C0000}"/>
    <cellStyle name="Input 10 3 7" xfId="11893" xr:uid="{00000000-0005-0000-0000-0000531C0000}"/>
    <cellStyle name="Input 10 3 7 2" xfId="26725" xr:uid="{00000000-0005-0000-0000-0000541C0000}"/>
    <cellStyle name="Input 10 3 8" xfId="9551" xr:uid="{00000000-0005-0000-0000-0000551C0000}"/>
    <cellStyle name="Input 10 3 8 2" xfId="19853" xr:uid="{00000000-0005-0000-0000-0000561C0000}"/>
    <cellStyle name="Input 10 4" xfId="1389" xr:uid="{00000000-0005-0000-0000-0000571C0000}"/>
    <cellStyle name="Input 10 4 2" xfId="1891" xr:uid="{00000000-0005-0000-0000-0000581C0000}"/>
    <cellStyle name="Input 10 4 2 2" xfId="3256" xr:uid="{00000000-0005-0000-0000-0000591C0000}"/>
    <cellStyle name="Input 10 4 2 2 2" xfId="7320" xr:uid="{00000000-0005-0000-0000-00005A1C0000}"/>
    <cellStyle name="Input 10 4 2 2 2 2" xfId="23356" xr:uid="{00000000-0005-0000-0000-00005B1C0000}"/>
    <cellStyle name="Input 10 4 2 2 3" xfId="13593" xr:uid="{00000000-0005-0000-0000-00005C1C0000}"/>
    <cellStyle name="Input 10 4 2 2 3 2" xfId="28425" xr:uid="{00000000-0005-0000-0000-00005D1C0000}"/>
    <cellStyle name="Input 10 4 2 2 4" xfId="21043" xr:uid="{00000000-0005-0000-0000-00005E1C0000}"/>
    <cellStyle name="Input 10 4 2 3" xfId="4869" xr:uid="{00000000-0005-0000-0000-00005F1C0000}"/>
    <cellStyle name="Input 10 4 2 3 2" xfId="8908" xr:uid="{00000000-0005-0000-0000-0000601C0000}"/>
    <cellStyle name="Input 10 4 2 3 2 2" xfId="24374" xr:uid="{00000000-0005-0000-0000-0000611C0000}"/>
    <cellStyle name="Input 10 4 2 3 3" xfId="15192" xr:uid="{00000000-0005-0000-0000-0000621C0000}"/>
    <cellStyle name="Input 10 4 2 3 3 2" xfId="30024" xr:uid="{00000000-0005-0000-0000-0000631C0000}"/>
    <cellStyle name="Input 10 4 2 3 4" xfId="21906" xr:uid="{00000000-0005-0000-0000-0000641C0000}"/>
    <cellStyle name="Input 10 4 2 4" xfId="2859" xr:uid="{00000000-0005-0000-0000-0000651C0000}"/>
    <cellStyle name="Input 10 4 2 4 2" xfId="6944" xr:uid="{00000000-0005-0000-0000-0000661C0000}"/>
    <cellStyle name="Input 10 4 2 4 2 2" xfId="23119" xr:uid="{00000000-0005-0000-0000-0000671C0000}"/>
    <cellStyle name="Input 10 4 2 4 3" xfId="13197" xr:uid="{00000000-0005-0000-0000-0000681C0000}"/>
    <cellStyle name="Input 10 4 2 4 3 2" xfId="28029" xr:uid="{00000000-0005-0000-0000-0000691C0000}"/>
    <cellStyle name="Input 10 4 2 4 4" xfId="20785" xr:uid="{00000000-0005-0000-0000-00006A1C0000}"/>
    <cellStyle name="Input 10 4 2 5" xfId="6022" xr:uid="{00000000-0005-0000-0000-00006B1C0000}"/>
    <cellStyle name="Input 10 4 2 5 2" xfId="16209" xr:uid="{00000000-0005-0000-0000-00006C1C0000}"/>
    <cellStyle name="Input 10 4 2 5 2 2" xfId="31041" xr:uid="{00000000-0005-0000-0000-00006D1C0000}"/>
    <cellStyle name="Input 10 4 2 5 3" xfId="22555" xr:uid="{00000000-0005-0000-0000-00006E1C0000}"/>
    <cellStyle name="Input 10 4 2 6" xfId="12279" xr:uid="{00000000-0005-0000-0000-00006F1C0000}"/>
    <cellStyle name="Input 10 4 2 6 2" xfId="27111" xr:uid="{00000000-0005-0000-0000-0000701C0000}"/>
    <cellStyle name="Input 10 4 2 7" xfId="9875" xr:uid="{00000000-0005-0000-0000-0000711C0000}"/>
    <cellStyle name="Input 10 4 2 7 2" xfId="20079" xr:uid="{00000000-0005-0000-0000-0000721C0000}"/>
    <cellStyle name="Input 10 4 3" xfId="3678" xr:uid="{00000000-0005-0000-0000-0000731C0000}"/>
    <cellStyle name="Input 10 4 3 2" xfId="7736" xr:uid="{00000000-0005-0000-0000-0000741C0000}"/>
    <cellStyle name="Input 10 4 3 2 2" xfId="23626" xr:uid="{00000000-0005-0000-0000-0000751C0000}"/>
    <cellStyle name="Input 10 4 3 3" xfId="14013" xr:uid="{00000000-0005-0000-0000-0000761C0000}"/>
    <cellStyle name="Input 10 4 3 3 2" xfId="28845" xr:uid="{00000000-0005-0000-0000-0000771C0000}"/>
    <cellStyle name="Input 10 4 3 4" xfId="21286" xr:uid="{00000000-0005-0000-0000-0000781C0000}"/>
    <cellStyle name="Input 10 4 4" xfId="4449" xr:uid="{00000000-0005-0000-0000-0000791C0000}"/>
    <cellStyle name="Input 10 4 4 2" xfId="8488" xr:uid="{00000000-0005-0000-0000-00007A1C0000}"/>
    <cellStyle name="Input 10 4 4 2 2" xfId="24114" xr:uid="{00000000-0005-0000-0000-00007B1C0000}"/>
    <cellStyle name="Input 10 4 4 3" xfId="14777" xr:uid="{00000000-0005-0000-0000-00007C1C0000}"/>
    <cellStyle name="Input 10 4 4 3 2" xfId="29609" xr:uid="{00000000-0005-0000-0000-00007D1C0000}"/>
    <cellStyle name="Input 10 4 4 4" xfId="21676" xr:uid="{00000000-0005-0000-0000-00007E1C0000}"/>
    <cellStyle name="Input 10 4 5" xfId="2439" xr:uid="{00000000-0005-0000-0000-00007F1C0000}"/>
    <cellStyle name="Input 10 4 5 2" xfId="6545" xr:uid="{00000000-0005-0000-0000-0000801C0000}"/>
    <cellStyle name="Input 10 4 5 2 2" xfId="22883" xr:uid="{00000000-0005-0000-0000-0000811C0000}"/>
    <cellStyle name="Input 10 4 5 3" xfId="12778" xr:uid="{00000000-0005-0000-0000-0000821C0000}"/>
    <cellStyle name="Input 10 4 5 3 2" xfId="27610" xr:uid="{00000000-0005-0000-0000-0000831C0000}"/>
    <cellStyle name="Input 10 4 5 4" xfId="20531" xr:uid="{00000000-0005-0000-0000-0000841C0000}"/>
    <cellStyle name="Input 10 4 6" xfId="5563" xr:uid="{00000000-0005-0000-0000-0000851C0000}"/>
    <cellStyle name="Input 10 4 6 2" xfId="15798" xr:uid="{00000000-0005-0000-0000-0000861C0000}"/>
    <cellStyle name="Input 10 4 6 2 2" xfId="30630" xr:uid="{00000000-0005-0000-0000-0000871C0000}"/>
    <cellStyle name="Input 10 4 6 3" xfId="22259" xr:uid="{00000000-0005-0000-0000-0000881C0000}"/>
    <cellStyle name="Input 10 4 7" xfId="11808" xr:uid="{00000000-0005-0000-0000-0000891C0000}"/>
    <cellStyle name="Input 10 4 7 2" xfId="26640" xr:uid="{00000000-0005-0000-0000-00008A1C0000}"/>
    <cellStyle name="Input 10 4 8" xfId="9480" xr:uid="{00000000-0005-0000-0000-00008B1C0000}"/>
    <cellStyle name="Input 10 4 8 2" xfId="19783" xr:uid="{00000000-0005-0000-0000-00008C1C0000}"/>
    <cellStyle name="Input 10 5" xfId="1468" xr:uid="{00000000-0005-0000-0000-00008D1C0000}"/>
    <cellStyle name="Input 10 5 2" xfId="1969" xr:uid="{00000000-0005-0000-0000-00008E1C0000}"/>
    <cellStyle name="Input 10 5 2 2" xfId="3387" xr:uid="{00000000-0005-0000-0000-00008F1C0000}"/>
    <cellStyle name="Input 10 5 2 2 2" xfId="7450" xr:uid="{00000000-0005-0000-0000-0000901C0000}"/>
    <cellStyle name="Input 10 5 2 2 2 2" xfId="23442" xr:uid="{00000000-0005-0000-0000-0000911C0000}"/>
    <cellStyle name="Input 10 5 2 2 3" xfId="13724" xr:uid="{00000000-0005-0000-0000-0000921C0000}"/>
    <cellStyle name="Input 10 5 2 2 3 2" xfId="28556" xr:uid="{00000000-0005-0000-0000-0000931C0000}"/>
    <cellStyle name="Input 10 5 2 2 4" xfId="21124" xr:uid="{00000000-0005-0000-0000-0000941C0000}"/>
    <cellStyle name="Input 10 5 2 3" xfId="4933" xr:uid="{00000000-0005-0000-0000-0000951C0000}"/>
    <cellStyle name="Input 10 5 2 3 2" xfId="8972" xr:uid="{00000000-0005-0000-0000-0000961C0000}"/>
    <cellStyle name="Input 10 5 2 3 2 2" xfId="24438" xr:uid="{00000000-0005-0000-0000-0000971C0000}"/>
    <cellStyle name="Input 10 5 2 3 3" xfId="15255" xr:uid="{00000000-0005-0000-0000-0000981C0000}"/>
    <cellStyle name="Input 10 5 2 3 3 2" xfId="30087" xr:uid="{00000000-0005-0000-0000-0000991C0000}"/>
    <cellStyle name="Input 10 5 2 3 4" xfId="21968" xr:uid="{00000000-0005-0000-0000-00009A1C0000}"/>
    <cellStyle name="Input 10 5 2 4" xfId="2923" xr:uid="{00000000-0005-0000-0000-00009B1C0000}"/>
    <cellStyle name="Input 10 5 2 4 2" xfId="7007" xr:uid="{00000000-0005-0000-0000-00009C1C0000}"/>
    <cellStyle name="Input 10 5 2 4 2 2" xfId="23181" xr:uid="{00000000-0005-0000-0000-00009D1C0000}"/>
    <cellStyle name="Input 10 5 2 4 3" xfId="13261" xr:uid="{00000000-0005-0000-0000-00009E1C0000}"/>
    <cellStyle name="Input 10 5 2 4 3 2" xfId="28093" xr:uid="{00000000-0005-0000-0000-00009F1C0000}"/>
    <cellStyle name="Input 10 5 2 4 4" xfId="20849" xr:uid="{00000000-0005-0000-0000-0000A01C0000}"/>
    <cellStyle name="Input 10 5 2 5" xfId="6099" xr:uid="{00000000-0005-0000-0000-0000A11C0000}"/>
    <cellStyle name="Input 10 5 2 5 2" xfId="16286" xr:uid="{00000000-0005-0000-0000-0000A21C0000}"/>
    <cellStyle name="Input 10 5 2 5 2 2" xfId="31118" xr:uid="{00000000-0005-0000-0000-0000A31C0000}"/>
    <cellStyle name="Input 10 5 2 5 3" xfId="22632" xr:uid="{00000000-0005-0000-0000-0000A41C0000}"/>
    <cellStyle name="Input 10 5 2 6" xfId="12356" xr:uid="{00000000-0005-0000-0000-0000A51C0000}"/>
    <cellStyle name="Input 10 5 2 6 2" xfId="27188" xr:uid="{00000000-0005-0000-0000-0000A61C0000}"/>
    <cellStyle name="Input 10 5 2 7" xfId="9938" xr:uid="{00000000-0005-0000-0000-0000A71C0000}"/>
    <cellStyle name="Input 10 5 2 7 2" xfId="20140" xr:uid="{00000000-0005-0000-0000-0000A81C0000}"/>
    <cellStyle name="Input 10 5 3" xfId="4337" xr:uid="{00000000-0005-0000-0000-0000A91C0000}"/>
    <cellStyle name="Input 10 5 3 2" xfId="8376" xr:uid="{00000000-0005-0000-0000-0000AA1C0000}"/>
    <cellStyle name="Input 10 5 3 2 2" xfId="24036" xr:uid="{00000000-0005-0000-0000-0000AB1C0000}"/>
    <cellStyle name="Input 10 5 3 3" xfId="14668" xr:uid="{00000000-0005-0000-0000-0000AC1C0000}"/>
    <cellStyle name="Input 10 5 3 3 2" xfId="29500" xr:uid="{00000000-0005-0000-0000-0000AD1C0000}"/>
    <cellStyle name="Input 10 5 3 4" xfId="21632" xr:uid="{00000000-0005-0000-0000-0000AE1C0000}"/>
    <cellStyle name="Input 10 5 4" xfId="4513" xr:uid="{00000000-0005-0000-0000-0000AF1C0000}"/>
    <cellStyle name="Input 10 5 4 2" xfId="8552" xr:uid="{00000000-0005-0000-0000-0000B01C0000}"/>
    <cellStyle name="Input 10 5 4 2 2" xfId="24178" xr:uid="{00000000-0005-0000-0000-0000B11C0000}"/>
    <cellStyle name="Input 10 5 4 3" xfId="14840" xr:uid="{00000000-0005-0000-0000-0000B21C0000}"/>
    <cellStyle name="Input 10 5 4 3 2" xfId="29672" xr:uid="{00000000-0005-0000-0000-0000B31C0000}"/>
    <cellStyle name="Input 10 5 4 4" xfId="21738" xr:uid="{00000000-0005-0000-0000-0000B41C0000}"/>
    <cellStyle name="Input 10 5 5" xfId="2503" xr:uid="{00000000-0005-0000-0000-0000B51C0000}"/>
    <cellStyle name="Input 10 5 5 2" xfId="6609" xr:uid="{00000000-0005-0000-0000-0000B61C0000}"/>
    <cellStyle name="Input 10 5 5 2 2" xfId="22947" xr:uid="{00000000-0005-0000-0000-0000B71C0000}"/>
    <cellStyle name="Input 10 5 5 3" xfId="12841" xr:uid="{00000000-0005-0000-0000-0000B81C0000}"/>
    <cellStyle name="Input 10 5 5 3 2" xfId="27673" xr:uid="{00000000-0005-0000-0000-0000B91C0000}"/>
    <cellStyle name="Input 10 5 5 4" xfId="20593" xr:uid="{00000000-0005-0000-0000-0000BA1C0000}"/>
    <cellStyle name="Input 10 5 6" xfId="5626" xr:uid="{00000000-0005-0000-0000-0000BB1C0000}"/>
    <cellStyle name="Input 10 5 6 2" xfId="15861" xr:uid="{00000000-0005-0000-0000-0000BC1C0000}"/>
    <cellStyle name="Input 10 5 6 2 2" xfId="30693" xr:uid="{00000000-0005-0000-0000-0000BD1C0000}"/>
    <cellStyle name="Input 10 5 6 3" xfId="22322" xr:uid="{00000000-0005-0000-0000-0000BE1C0000}"/>
    <cellStyle name="Input 10 5 7" xfId="11885" xr:uid="{00000000-0005-0000-0000-0000BF1C0000}"/>
    <cellStyle name="Input 10 5 7 2" xfId="26717" xr:uid="{00000000-0005-0000-0000-0000C01C0000}"/>
    <cellStyle name="Input 10 5 8" xfId="9543" xr:uid="{00000000-0005-0000-0000-0000C11C0000}"/>
    <cellStyle name="Input 10 5 8 2" xfId="19845" xr:uid="{00000000-0005-0000-0000-0000C21C0000}"/>
    <cellStyle name="Input 10 6" xfId="1744" xr:uid="{00000000-0005-0000-0000-0000C31C0000}"/>
    <cellStyle name="Input 10 6 2" xfId="3867" xr:uid="{00000000-0005-0000-0000-0000C41C0000}"/>
    <cellStyle name="Input 10 6 2 2" xfId="7919" xr:uid="{00000000-0005-0000-0000-0000C51C0000}"/>
    <cellStyle name="Input 10 6 2 2 2" xfId="23750" xr:uid="{00000000-0005-0000-0000-0000C61C0000}"/>
    <cellStyle name="Input 10 6 2 3" xfId="14202" xr:uid="{00000000-0005-0000-0000-0000C71C0000}"/>
    <cellStyle name="Input 10 6 2 3 2" xfId="29034" xr:uid="{00000000-0005-0000-0000-0000C81C0000}"/>
    <cellStyle name="Input 10 6 2 4" xfId="21392" xr:uid="{00000000-0005-0000-0000-0000C91C0000}"/>
    <cellStyle name="Input 10 6 3" xfId="4722" xr:uid="{00000000-0005-0000-0000-0000CA1C0000}"/>
    <cellStyle name="Input 10 6 3 2" xfId="8761" xr:uid="{00000000-0005-0000-0000-0000CB1C0000}"/>
    <cellStyle name="Input 10 6 3 2 2" xfId="24291" xr:uid="{00000000-0005-0000-0000-0000CC1C0000}"/>
    <cellStyle name="Input 10 6 3 3" xfId="15046" xr:uid="{00000000-0005-0000-0000-0000CD1C0000}"/>
    <cellStyle name="Input 10 6 3 3 2" xfId="29878" xr:uid="{00000000-0005-0000-0000-0000CE1C0000}"/>
    <cellStyle name="Input 10 6 3 4" xfId="21829" xr:uid="{00000000-0005-0000-0000-0000CF1C0000}"/>
    <cellStyle name="Input 10 6 4" xfId="2712" xr:uid="{00000000-0005-0000-0000-0000D01C0000}"/>
    <cellStyle name="Input 10 6 4 2" xfId="6803" xr:uid="{00000000-0005-0000-0000-0000D11C0000}"/>
    <cellStyle name="Input 10 6 4 2 2" xfId="23042" xr:uid="{00000000-0005-0000-0000-0000D21C0000}"/>
    <cellStyle name="Input 10 6 4 3" xfId="13050" xr:uid="{00000000-0005-0000-0000-0000D31C0000}"/>
    <cellStyle name="Input 10 6 4 3 2" xfId="27882" xr:uid="{00000000-0005-0000-0000-0000D41C0000}"/>
    <cellStyle name="Input 10 6 4 4" xfId="20702" xr:uid="{00000000-0005-0000-0000-0000D51C0000}"/>
    <cellStyle name="Input 10 6 5" xfId="5876" xr:uid="{00000000-0005-0000-0000-0000D61C0000}"/>
    <cellStyle name="Input 10 6 5 2" xfId="16068" xr:uid="{00000000-0005-0000-0000-0000D71C0000}"/>
    <cellStyle name="Input 10 6 5 2 2" xfId="30900" xr:uid="{00000000-0005-0000-0000-0000D81C0000}"/>
    <cellStyle name="Input 10 6 5 3" xfId="22473" xr:uid="{00000000-0005-0000-0000-0000D91C0000}"/>
    <cellStyle name="Input 10 6 6" xfId="12138" xr:uid="{00000000-0005-0000-0000-0000DA1C0000}"/>
    <cellStyle name="Input 10 6 6 2" xfId="26970" xr:uid="{00000000-0005-0000-0000-0000DB1C0000}"/>
    <cellStyle name="Input 10 6 7" xfId="9734" xr:uid="{00000000-0005-0000-0000-0000DC1C0000}"/>
    <cellStyle name="Input 10 6 7 2" xfId="20032" xr:uid="{00000000-0005-0000-0000-0000DD1C0000}"/>
    <cellStyle name="Input 10 7" xfId="2222" xr:uid="{00000000-0005-0000-0000-0000DE1C0000}"/>
    <cellStyle name="Input 10 7 2" xfId="3241" xr:uid="{00000000-0005-0000-0000-0000DF1C0000}"/>
    <cellStyle name="Input 10 7 2 2" xfId="7305" xr:uid="{00000000-0005-0000-0000-0000E01C0000}"/>
    <cellStyle name="Input 10 7 2 2 2" xfId="23345" xr:uid="{00000000-0005-0000-0000-0000E11C0000}"/>
    <cellStyle name="Input 10 7 2 3" xfId="13578" xr:uid="{00000000-0005-0000-0000-0000E21C0000}"/>
    <cellStyle name="Input 10 7 2 3 2" xfId="28410" xr:uid="{00000000-0005-0000-0000-0000E31C0000}"/>
    <cellStyle name="Input 10 7 2 4" xfId="21032" xr:uid="{00000000-0005-0000-0000-0000E41C0000}"/>
    <cellStyle name="Input 10 7 3" xfId="5190" xr:uid="{00000000-0005-0000-0000-0000E51C0000}"/>
    <cellStyle name="Input 10 7 3 2" xfId="9229" xr:uid="{00000000-0005-0000-0000-0000E61C0000}"/>
    <cellStyle name="Input 10 7 3 2 2" xfId="24567" xr:uid="{00000000-0005-0000-0000-0000E71C0000}"/>
    <cellStyle name="Input 10 7 3 3" xfId="15508" xr:uid="{00000000-0005-0000-0000-0000E81C0000}"/>
    <cellStyle name="Input 10 7 3 3 2" xfId="30340" xr:uid="{00000000-0005-0000-0000-0000E91C0000}"/>
    <cellStyle name="Input 10 7 3 4" xfId="22074" xr:uid="{00000000-0005-0000-0000-0000EA1C0000}"/>
    <cellStyle name="Input 10 7 4" xfId="4220" xr:uid="{00000000-0005-0000-0000-0000EB1C0000}"/>
    <cellStyle name="Input 10 7 4 2" xfId="8261" xr:uid="{00000000-0005-0000-0000-0000EC1C0000}"/>
    <cellStyle name="Input 10 7 4 2 2" xfId="23956" xr:uid="{00000000-0005-0000-0000-0000ED1C0000}"/>
    <cellStyle name="Input 10 7 4 3" xfId="14552" xr:uid="{00000000-0005-0000-0000-0000EE1C0000}"/>
    <cellStyle name="Input 10 7 4 3 2" xfId="29384" xr:uid="{00000000-0005-0000-0000-0000EF1C0000}"/>
    <cellStyle name="Input 10 7 4 4" xfId="21581" xr:uid="{00000000-0005-0000-0000-0000F01C0000}"/>
    <cellStyle name="Input 10 7 5" xfId="6336" xr:uid="{00000000-0005-0000-0000-0000F11C0000}"/>
    <cellStyle name="Input 10 7 5 2" xfId="22738" xr:uid="{00000000-0005-0000-0000-0000F21C0000}"/>
    <cellStyle name="Input 10 7 6" xfId="12590" xr:uid="{00000000-0005-0000-0000-0000F31C0000}"/>
    <cellStyle name="Input 10 7 6 2" xfId="27422" xr:uid="{00000000-0005-0000-0000-0000F41C0000}"/>
    <cellStyle name="Input 10 7 7" xfId="20417" xr:uid="{00000000-0005-0000-0000-0000F51C0000}"/>
    <cellStyle name="Input 10 8" xfId="3137" xr:uid="{00000000-0005-0000-0000-0000F61C0000}"/>
    <cellStyle name="Input 10 8 2" xfId="7201" xr:uid="{00000000-0005-0000-0000-0000F71C0000}"/>
    <cellStyle name="Input 10 8 2 2" xfId="23273" xr:uid="{00000000-0005-0000-0000-0000F81C0000}"/>
    <cellStyle name="Input 10 8 3" xfId="13475" xr:uid="{00000000-0005-0000-0000-0000F91C0000}"/>
    <cellStyle name="Input 10 8 3 2" xfId="28307" xr:uid="{00000000-0005-0000-0000-0000FA1C0000}"/>
    <cellStyle name="Input 10 8 4" xfId="20964" xr:uid="{00000000-0005-0000-0000-0000FB1C0000}"/>
    <cellStyle name="Input 10 9" xfId="3218" xr:uid="{00000000-0005-0000-0000-0000FC1C0000}"/>
    <cellStyle name="Input 10 9 2" xfId="7282" xr:uid="{00000000-0005-0000-0000-0000FD1C0000}"/>
    <cellStyle name="Input 10 9 2 2" xfId="23327" xr:uid="{00000000-0005-0000-0000-0000FE1C0000}"/>
    <cellStyle name="Input 10 9 3" xfId="13556" xr:uid="{00000000-0005-0000-0000-0000FF1C0000}"/>
    <cellStyle name="Input 10 9 3 2" xfId="28388" xr:uid="{00000000-0005-0000-0000-0000001D0000}"/>
    <cellStyle name="Input 10 9 4" xfId="21016" xr:uid="{00000000-0005-0000-0000-0000011D0000}"/>
    <cellStyle name="Input 2" xfId="1112" xr:uid="{00000000-0005-0000-0000-0000021D0000}"/>
    <cellStyle name="Input 2 10" xfId="1477" xr:uid="{00000000-0005-0000-0000-0000031D0000}"/>
    <cellStyle name="Input 2 10 2" xfId="1978" xr:uid="{00000000-0005-0000-0000-0000041D0000}"/>
    <cellStyle name="Input 2 10 2 2" xfId="4083" xr:uid="{00000000-0005-0000-0000-0000051D0000}"/>
    <cellStyle name="Input 2 10 2 2 2" xfId="8129" xr:uid="{00000000-0005-0000-0000-0000061D0000}"/>
    <cellStyle name="Input 2 10 2 2 2 2" xfId="23879" xr:uid="{00000000-0005-0000-0000-0000071D0000}"/>
    <cellStyle name="Input 2 10 2 2 3" xfId="14415" xr:uid="{00000000-0005-0000-0000-0000081D0000}"/>
    <cellStyle name="Input 2 10 2 2 3 2" xfId="29247" xr:uid="{00000000-0005-0000-0000-0000091D0000}"/>
    <cellStyle name="Input 2 10 2 2 4" xfId="21509" xr:uid="{00000000-0005-0000-0000-00000A1D0000}"/>
    <cellStyle name="Input 2 10 2 3" xfId="4942" xr:uid="{00000000-0005-0000-0000-00000B1D0000}"/>
    <cellStyle name="Input 2 10 2 3 2" xfId="8981" xr:uid="{00000000-0005-0000-0000-00000C1D0000}"/>
    <cellStyle name="Input 2 10 2 3 2 2" xfId="24447" xr:uid="{00000000-0005-0000-0000-00000D1D0000}"/>
    <cellStyle name="Input 2 10 2 3 3" xfId="15264" xr:uid="{00000000-0005-0000-0000-00000E1D0000}"/>
    <cellStyle name="Input 2 10 2 3 3 2" xfId="30096" xr:uid="{00000000-0005-0000-0000-00000F1D0000}"/>
    <cellStyle name="Input 2 10 2 3 4" xfId="21977" xr:uid="{00000000-0005-0000-0000-0000101D0000}"/>
    <cellStyle name="Input 2 10 2 4" xfId="2932" xr:uid="{00000000-0005-0000-0000-0000111D0000}"/>
    <cellStyle name="Input 2 10 2 4 2" xfId="7016" xr:uid="{00000000-0005-0000-0000-0000121D0000}"/>
    <cellStyle name="Input 2 10 2 4 2 2" xfId="23190" xr:uid="{00000000-0005-0000-0000-0000131D0000}"/>
    <cellStyle name="Input 2 10 2 4 3" xfId="13270" xr:uid="{00000000-0005-0000-0000-0000141D0000}"/>
    <cellStyle name="Input 2 10 2 4 3 2" xfId="28102" xr:uid="{00000000-0005-0000-0000-0000151D0000}"/>
    <cellStyle name="Input 2 10 2 4 4" xfId="20858" xr:uid="{00000000-0005-0000-0000-0000161D0000}"/>
    <cellStyle name="Input 2 10 2 5" xfId="6108" xr:uid="{00000000-0005-0000-0000-0000171D0000}"/>
    <cellStyle name="Input 2 10 2 5 2" xfId="16295" xr:uid="{00000000-0005-0000-0000-0000181D0000}"/>
    <cellStyle name="Input 2 10 2 5 2 2" xfId="31127" xr:uid="{00000000-0005-0000-0000-0000191D0000}"/>
    <cellStyle name="Input 2 10 2 5 3" xfId="22641" xr:uid="{00000000-0005-0000-0000-00001A1D0000}"/>
    <cellStyle name="Input 2 10 2 6" xfId="12365" xr:uid="{00000000-0005-0000-0000-00001B1D0000}"/>
    <cellStyle name="Input 2 10 2 6 2" xfId="27197" xr:uid="{00000000-0005-0000-0000-00001C1D0000}"/>
    <cellStyle name="Input 2 10 2 7" xfId="9947" xr:uid="{00000000-0005-0000-0000-00001D1D0000}"/>
    <cellStyle name="Input 2 10 2 7 2" xfId="20149" xr:uid="{00000000-0005-0000-0000-00001E1D0000}"/>
    <cellStyle name="Input 2 10 3" xfId="3346" xr:uid="{00000000-0005-0000-0000-00001F1D0000}"/>
    <cellStyle name="Input 2 10 3 2" xfId="7409" xr:uid="{00000000-0005-0000-0000-0000201D0000}"/>
    <cellStyle name="Input 2 10 3 2 2" xfId="23414" xr:uid="{00000000-0005-0000-0000-0000211D0000}"/>
    <cellStyle name="Input 2 10 3 3" xfId="13683" xr:uid="{00000000-0005-0000-0000-0000221D0000}"/>
    <cellStyle name="Input 2 10 3 3 2" xfId="28515" xr:uid="{00000000-0005-0000-0000-0000231D0000}"/>
    <cellStyle name="Input 2 10 3 4" xfId="21101" xr:uid="{00000000-0005-0000-0000-0000241D0000}"/>
    <cellStyle name="Input 2 10 4" xfId="4522" xr:uid="{00000000-0005-0000-0000-0000251D0000}"/>
    <cellStyle name="Input 2 10 4 2" xfId="8561" xr:uid="{00000000-0005-0000-0000-0000261D0000}"/>
    <cellStyle name="Input 2 10 4 2 2" xfId="24187" xr:uid="{00000000-0005-0000-0000-0000271D0000}"/>
    <cellStyle name="Input 2 10 4 3" xfId="14849" xr:uid="{00000000-0005-0000-0000-0000281D0000}"/>
    <cellStyle name="Input 2 10 4 3 2" xfId="29681" xr:uid="{00000000-0005-0000-0000-0000291D0000}"/>
    <cellStyle name="Input 2 10 4 4" xfId="21747" xr:uid="{00000000-0005-0000-0000-00002A1D0000}"/>
    <cellStyle name="Input 2 10 5" xfId="2512" xr:uid="{00000000-0005-0000-0000-00002B1D0000}"/>
    <cellStyle name="Input 2 10 5 2" xfId="6618" xr:uid="{00000000-0005-0000-0000-00002C1D0000}"/>
    <cellStyle name="Input 2 10 5 2 2" xfId="22956" xr:uid="{00000000-0005-0000-0000-00002D1D0000}"/>
    <cellStyle name="Input 2 10 5 3" xfId="12850" xr:uid="{00000000-0005-0000-0000-00002E1D0000}"/>
    <cellStyle name="Input 2 10 5 3 2" xfId="27682" xr:uid="{00000000-0005-0000-0000-00002F1D0000}"/>
    <cellStyle name="Input 2 10 5 4" xfId="20602" xr:uid="{00000000-0005-0000-0000-0000301D0000}"/>
    <cellStyle name="Input 2 10 6" xfId="5635" xr:uid="{00000000-0005-0000-0000-0000311D0000}"/>
    <cellStyle name="Input 2 10 6 2" xfId="15870" xr:uid="{00000000-0005-0000-0000-0000321D0000}"/>
    <cellStyle name="Input 2 10 6 2 2" xfId="30702" xr:uid="{00000000-0005-0000-0000-0000331D0000}"/>
    <cellStyle name="Input 2 10 6 3" xfId="22331" xr:uid="{00000000-0005-0000-0000-0000341D0000}"/>
    <cellStyle name="Input 2 10 7" xfId="11894" xr:uid="{00000000-0005-0000-0000-0000351D0000}"/>
    <cellStyle name="Input 2 10 7 2" xfId="26726" xr:uid="{00000000-0005-0000-0000-0000361D0000}"/>
    <cellStyle name="Input 2 10 8" xfId="9552" xr:uid="{00000000-0005-0000-0000-0000371D0000}"/>
    <cellStyle name="Input 2 10 8 2" xfId="19854" xr:uid="{00000000-0005-0000-0000-0000381D0000}"/>
    <cellStyle name="Input 2 11" xfId="1405" xr:uid="{00000000-0005-0000-0000-0000391D0000}"/>
    <cellStyle name="Input 2 11 2" xfId="1907" xr:uid="{00000000-0005-0000-0000-00003A1D0000}"/>
    <cellStyle name="Input 2 11 2 2" xfId="3733" xr:uid="{00000000-0005-0000-0000-00003B1D0000}"/>
    <cellStyle name="Input 2 11 2 2 2" xfId="7789" xr:uid="{00000000-0005-0000-0000-00003C1D0000}"/>
    <cellStyle name="Input 2 11 2 2 2 2" xfId="23663" xr:uid="{00000000-0005-0000-0000-00003D1D0000}"/>
    <cellStyle name="Input 2 11 2 2 3" xfId="14068" xr:uid="{00000000-0005-0000-0000-00003E1D0000}"/>
    <cellStyle name="Input 2 11 2 2 3 2" xfId="28900" xr:uid="{00000000-0005-0000-0000-00003F1D0000}"/>
    <cellStyle name="Input 2 11 2 2 4" xfId="21323" xr:uid="{00000000-0005-0000-0000-0000401D0000}"/>
    <cellStyle name="Input 2 11 2 3" xfId="4885" xr:uid="{00000000-0005-0000-0000-0000411D0000}"/>
    <cellStyle name="Input 2 11 2 3 2" xfId="8924" xr:uid="{00000000-0005-0000-0000-0000421D0000}"/>
    <cellStyle name="Input 2 11 2 3 2 2" xfId="24390" xr:uid="{00000000-0005-0000-0000-0000431D0000}"/>
    <cellStyle name="Input 2 11 2 3 3" xfId="15208" xr:uid="{00000000-0005-0000-0000-0000441D0000}"/>
    <cellStyle name="Input 2 11 2 3 3 2" xfId="30040" xr:uid="{00000000-0005-0000-0000-0000451D0000}"/>
    <cellStyle name="Input 2 11 2 3 4" xfId="21922" xr:uid="{00000000-0005-0000-0000-0000461D0000}"/>
    <cellStyle name="Input 2 11 2 4" xfId="2875" xr:uid="{00000000-0005-0000-0000-0000471D0000}"/>
    <cellStyle name="Input 2 11 2 4 2" xfId="6960" xr:uid="{00000000-0005-0000-0000-0000481D0000}"/>
    <cellStyle name="Input 2 11 2 4 2 2" xfId="23135" xr:uid="{00000000-0005-0000-0000-0000491D0000}"/>
    <cellStyle name="Input 2 11 2 4 3" xfId="13213" xr:uid="{00000000-0005-0000-0000-00004A1D0000}"/>
    <cellStyle name="Input 2 11 2 4 3 2" xfId="28045" xr:uid="{00000000-0005-0000-0000-00004B1D0000}"/>
    <cellStyle name="Input 2 11 2 4 4" xfId="20801" xr:uid="{00000000-0005-0000-0000-00004C1D0000}"/>
    <cellStyle name="Input 2 11 2 5" xfId="6038" xr:uid="{00000000-0005-0000-0000-00004D1D0000}"/>
    <cellStyle name="Input 2 11 2 5 2" xfId="16225" xr:uid="{00000000-0005-0000-0000-00004E1D0000}"/>
    <cellStyle name="Input 2 11 2 5 2 2" xfId="31057" xr:uid="{00000000-0005-0000-0000-00004F1D0000}"/>
    <cellStyle name="Input 2 11 2 5 3" xfId="22571" xr:uid="{00000000-0005-0000-0000-0000501D0000}"/>
    <cellStyle name="Input 2 11 2 6" xfId="12295" xr:uid="{00000000-0005-0000-0000-0000511D0000}"/>
    <cellStyle name="Input 2 11 2 6 2" xfId="27127" xr:uid="{00000000-0005-0000-0000-0000521D0000}"/>
    <cellStyle name="Input 2 11 2 7" xfId="9891" xr:uid="{00000000-0005-0000-0000-0000531D0000}"/>
    <cellStyle name="Input 2 11 2 7 2" xfId="20094" xr:uid="{00000000-0005-0000-0000-0000541D0000}"/>
    <cellStyle name="Input 2 11 3" xfId="3565" xr:uid="{00000000-0005-0000-0000-0000551D0000}"/>
    <cellStyle name="Input 2 11 3 2" xfId="7627" xr:uid="{00000000-0005-0000-0000-0000561D0000}"/>
    <cellStyle name="Input 2 11 3 2 2" xfId="23555" xr:uid="{00000000-0005-0000-0000-0000571D0000}"/>
    <cellStyle name="Input 2 11 3 3" xfId="13901" xr:uid="{00000000-0005-0000-0000-0000581D0000}"/>
    <cellStyle name="Input 2 11 3 3 2" xfId="28733" xr:uid="{00000000-0005-0000-0000-0000591D0000}"/>
    <cellStyle name="Input 2 11 3 4" xfId="21225" xr:uid="{00000000-0005-0000-0000-00005A1D0000}"/>
    <cellStyle name="Input 2 11 4" xfId="4465" xr:uid="{00000000-0005-0000-0000-00005B1D0000}"/>
    <cellStyle name="Input 2 11 4 2" xfId="8504" xr:uid="{00000000-0005-0000-0000-00005C1D0000}"/>
    <cellStyle name="Input 2 11 4 2 2" xfId="24130" xr:uid="{00000000-0005-0000-0000-00005D1D0000}"/>
    <cellStyle name="Input 2 11 4 3" xfId="14793" xr:uid="{00000000-0005-0000-0000-00005E1D0000}"/>
    <cellStyle name="Input 2 11 4 3 2" xfId="29625" xr:uid="{00000000-0005-0000-0000-00005F1D0000}"/>
    <cellStyle name="Input 2 11 4 4" xfId="21692" xr:uid="{00000000-0005-0000-0000-0000601D0000}"/>
    <cellStyle name="Input 2 11 5" xfId="2455" xr:uid="{00000000-0005-0000-0000-0000611D0000}"/>
    <cellStyle name="Input 2 11 5 2" xfId="6561" xr:uid="{00000000-0005-0000-0000-0000621D0000}"/>
    <cellStyle name="Input 2 11 5 2 2" xfId="22899" xr:uid="{00000000-0005-0000-0000-0000631D0000}"/>
    <cellStyle name="Input 2 11 5 3" xfId="12794" xr:uid="{00000000-0005-0000-0000-0000641D0000}"/>
    <cellStyle name="Input 2 11 5 3 2" xfId="27626" xr:uid="{00000000-0005-0000-0000-0000651D0000}"/>
    <cellStyle name="Input 2 11 5 4" xfId="20547" xr:uid="{00000000-0005-0000-0000-0000661D0000}"/>
    <cellStyle name="Input 2 11 6" xfId="5579" xr:uid="{00000000-0005-0000-0000-0000671D0000}"/>
    <cellStyle name="Input 2 11 6 2" xfId="15814" xr:uid="{00000000-0005-0000-0000-0000681D0000}"/>
    <cellStyle name="Input 2 11 6 2 2" xfId="30646" xr:uid="{00000000-0005-0000-0000-0000691D0000}"/>
    <cellStyle name="Input 2 11 6 3" xfId="22275" xr:uid="{00000000-0005-0000-0000-00006A1D0000}"/>
    <cellStyle name="Input 2 11 7" xfId="11824" xr:uid="{00000000-0005-0000-0000-00006B1D0000}"/>
    <cellStyle name="Input 2 11 7 2" xfId="26656" xr:uid="{00000000-0005-0000-0000-00006C1D0000}"/>
    <cellStyle name="Input 2 11 8" xfId="9496" xr:uid="{00000000-0005-0000-0000-00006D1D0000}"/>
    <cellStyle name="Input 2 11 8 2" xfId="19799" xr:uid="{00000000-0005-0000-0000-00006E1D0000}"/>
    <cellStyle name="Input 2 12" xfId="1469" xr:uid="{00000000-0005-0000-0000-00006F1D0000}"/>
    <cellStyle name="Input 2 12 2" xfId="1970" xr:uid="{00000000-0005-0000-0000-0000701D0000}"/>
    <cellStyle name="Input 2 12 2 2" xfId="3871" xr:uid="{00000000-0005-0000-0000-0000711D0000}"/>
    <cellStyle name="Input 2 12 2 2 2" xfId="7923" xr:uid="{00000000-0005-0000-0000-0000721D0000}"/>
    <cellStyle name="Input 2 12 2 2 2 2" xfId="23752" xr:uid="{00000000-0005-0000-0000-0000731D0000}"/>
    <cellStyle name="Input 2 12 2 2 3" xfId="14206" xr:uid="{00000000-0005-0000-0000-0000741D0000}"/>
    <cellStyle name="Input 2 12 2 2 3 2" xfId="29038" xr:uid="{00000000-0005-0000-0000-0000751D0000}"/>
    <cellStyle name="Input 2 12 2 2 4" xfId="21394" xr:uid="{00000000-0005-0000-0000-0000761D0000}"/>
    <cellStyle name="Input 2 12 2 3" xfId="4934" xr:uid="{00000000-0005-0000-0000-0000771D0000}"/>
    <cellStyle name="Input 2 12 2 3 2" xfId="8973" xr:uid="{00000000-0005-0000-0000-0000781D0000}"/>
    <cellStyle name="Input 2 12 2 3 2 2" xfId="24439" xr:uid="{00000000-0005-0000-0000-0000791D0000}"/>
    <cellStyle name="Input 2 12 2 3 3" xfId="15256" xr:uid="{00000000-0005-0000-0000-00007A1D0000}"/>
    <cellStyle name="Input 2 12 2 3 3 2" xfId="30088" xr:uid="{00000000-0005-0000-0000-00007B1D0000}"/>
    <cellStyle name="Input 2 12 2 3 4" xfId="21969" xr:uid="{00000000-0005-0000-0000-00007C1D0000}"/>
    <cellStyle name="Input 2 12 2 4" xfId="2924" xr:uid="{00000000-0005-0000-0000-00007D1D0000}"/>
    <cellStyle name="Input 2 12 2 4 2" xfId="7008" xr:uid="{00000000-0005-0000-0000-00007E1D0000}"/>
    <cellStyle name="Input 2 12 2 4 2 2" xfId="23182" xr:uid="{00000000-0005-0000-0000-00007F1D0000}"/>
    <cellStyle name="Input 2 12 2 4 3" xfId="13262" xr:uid="{00000000-0005-0000-0000-0000801D0000}"/>
    <cellStyle name="Input 2 12 2 4 3 2" xfId="28094" xr:uid="{00000000-0005-0000-0000-0000811D0000}"/>
    <cellStyle name="Input 2 12 2 4 4" xfId="20850" xr:uid="{00000000-0005-0000-0000-0000821D0000}"/>
    <cellStyle name="Input 2 12 2 5" xfId="6100" xr:uid="{00000000-0005-0000-0000-0000831D0000}"/>
    <cellStyle name="Input 2 12 2 5 2" xfId="16287" xr:uid="{00000000-0005-0000-0000-0000841D0000}"/>
    <cellStyle name="Input 2 12 2 5 2 2" xfId="31119" xr:uid="{00000000-0005-0000-0000-0000851D0000}"/>
    <cellStyle name="Input 2 12 2 5 3" xfId="22633" xr:uid="{00000000-0005-0000-0000-0000861D0000}"/>
    <cellStyle name="Input 2 12 2 6" xfId="12357" xr:uid="{00000000-0005-0000-0000-0000871D0000}"/>
    <cellStyle name="Input 2 12 2 6 2" xfId="27189" xr:uid="{00000000-0005-0000-0000-0000881D0000}"/>
    <cellStyle name="Input 2 12 2 7" xfId="9939" xr:uid="{00000000-0005-0000-0000-0000891D0000}"/>
    <cellStyle name="Input 2 12 2 7 2" xfId="20141" xr:uid="{00000000-0005-0000-0000-00008A1D0000}"/>
    <cellStyle name="Input 2 12 3" xfId="3210" xr:uid="{00000000-0005-0000-0000-00008B1D0000}"/>
    <cellStyle name="Input 2 12 3 2" xfId="7274" xr:uid="{00000000-0005-0000-0000-00008C1D0000}"/>
    <cellStyle name="Input 2 12 3 2 2" xfId="23321" xr:uid="{00000000-0005-0000-0000-00008D1D0000}"/>
    <cellStyle name="Input 2 12 3 3" xfId="13548" xr:uid="{00000000-0005-0000-0000-00008E1D0000}"/>
    <cellStyle name="Input 2 12 3 3 2" xfId="28380" xr:uid="{00000000-0005-0000-0000-00008F1D0000}"/>
    <cellStyle name="Input 2 12 3 4" xfId="21011" xr:uid="{00000000-0005-0000-0000-0000901D0000}"/>
    <cellStyle name="Input 2 12 4" xfId="4514" xr:uid="{00000000-0005-0000-0000-0000911D0000}"/>
    <cellStyle name="Input 2 12 4 2" xfId="8553" xr:uid="{00000000-0005-0000-0000-0000921D0000}"/>
    <cellStyle name="Input 2 12 4 2 2" xfId="24179" xr:uid="{00000000-0005-0000-0000-0000931D0000}"/>
    <cellStyle name="Input 2 12 4 3" xfId="14841" xr:uid="{00000000-0005-0000-0000-0000941D0000}"/>
    <cellStyle name="Input 2 12 4 3 2" xfId="29673" xr:uid="{00000000-0005-0000-0000-0000951D0000}"/>
    <cellStyle name="Input 2 12 4 4" xfId="21739" xr:uid="{00000000-0005-0000-0000-0000961D0000}"/>
    <cellStyle name="Input 2 12 5" xfId="2504" xr:uid="{00000000-0005-0000-0000-0000971D0000}"/>
    <cellStyle name="Input 2 12 5 2" xfId="6610" xr:uid="{00000000-0005-0000-0000-0000981D0000}"/>
    <cellStyle name="Input 2 12 5 2 2" xfId="22948" xr:uid="{00000000-0005-0000-0000-0000991D0000}"/>
    <cellStyle name="Input 2 12 5 3" xfId="12842" xr:uid="{00000000-0005-0000-0000-00009A1D0000}"/>
    <cellStyle name="Input 2 12 5 3 2" xfId="27674" xr:uid="{00000000-0005-0000-0000-00009B1D0000}"/>
    <cellStyle name="Input 2 12 5 4" xfId="20594" xr:uid="{00000000-0005-0000-0000-00009C1D0000}"/>
    <cellStyle name="Input 2 12 6" xfId="5627" xr:uid="{00000000-0005-0000-0000-00009D1D0000}"/>
    <cellStyle name="Input 2 12 6 2" xfId="15862" xr:uid="{00000000-0005-0000-0000-00009E1D0000}"/>
    <cellStyle name="Input 2 12 6 2 2" xfId="30694" xr:uid="{00000000-0005-0000-0000-00009F1D0000}"/>
    <cellStyle name="Input 2 12 6 3" xfId="22323" xr:uid="{00000000-0005-0000-0000-0000A01D0000}"/>
    <cellStyle name="Input 2 12 7" xfId="11886" xr:uid="{00000000-0005-0000-0000-0000A11D0000}"/>
    <cellStyle name="Input 2 12 7 2" xfId="26718" xr:uid="{00000000-0005-0000-0000-0000A21D0000}"/>
    <cellStyle name="Input 2 12 8" xfId="9544" xr:uid="{00000000-0005-0000-0000-0000A31D0000}"/>
    <cellStyle name="Input 2 12 8 2" xfId="19846" xr:uid="{00000000-0005-0000-0000-0000A41D0000}"/>
    <cellStyle name="Input 2 13" xfId="1745" xr:uid="{00000000-0005-0000-0000-0000A51D0000}"/>
    <cellStyle name="Input 2 13 2" xfId="4045" xr:uid="{00000000-0005-0000-0000-0000A61D0000}"/>
    <cellStyle name="Input 2 13 2 2" xfId="8092" xr:uid="{00000000-0005-0000-0000-0000A71D0000}"/>
    <cellStyle name="Input 2 13 2 2 2" xfId="23857" xr:uid="{00000000-0005-0000-0000-0000A81D0000}"/>
    <cellStyle name="Input 2 13 2 3" xfId="14377" xr:uid="{00000000-0005-0000-0000-0000A91D0000}"/>
    <cellStyle name="Input 2 13 2 3 2" xfId="29209" xr:uid="{00000000-0005-0000-0000-0000AA1D0000}"/>
    <cellStyle name="Input 2 13 2 4" xfId="21491" xr:uid="{00000000-0005-0000-0000-0000AB1D0000}"/>
    <cellStyle name="Input 2 13 3" xfId="4723" xr:uid="{00000000-0005-0000-0000-0000AC1D0000}"/>
    <cellStyle name="Input 2 13 3 2" xfId="8762" xr:uid="{00000000-0005-0000-0000-0000AD1D0000}"/>
    <cellStyle name="Input 2 13 3 2 2" xfId="24292" xr:uid="{00000000-0005-0000-0000-0000AE1D0000}"/>
    <cellStyle name="Input 2 13 3 3" xfId="15047" xr:uid="{00000000-0005-0000-0000-0000AF1D0000}"/>
    <cellStyle name="Input 2 13 3 3 2" xfId="29879" xr:uid="{00000000-0005-0000-0000-0000B01D0000}"/>
    <cellStyle name="Input 2 13 3 4" xfId="21830" xr:uid="{00000000-0005-0000-0000-0000B11D0000}"/>
    <cellStyle name="Input 2 13 4" xfId="2713" xr:uid="{00000000-0005-0000-0000-0000B21D0000}"/>
    <cellStyle name="Input 2 13 4 2" xfId="6804" xr:uid="{00000000-0005-0000-0000-0000B31D0000}"/>
    <cellStyle name="Input 2 13 4 2 2" xfId="23043" xr:uid="{00000000-0005-0000-0000-0000B41D0000}"/>
    <cellStyle name="Input 2 13 4 3" xfId="13051" xr:uid="{00000000-0005-0000-0000-0000B51D0000}"/>
    <cellStyle name="Input 2 13 4 3 2" xfId="27883" xr:uid="{00000000-0005-0000-0000-0000B61D0000}"/>
    <cellStyle name="Input 2 13 4 4" xfId="20703" xr:uid="{00000000-0005-0000-0000-0000B71D0000}"/>
    <cellStyle name="Input 2 13 5" xfId="5877" xr:uid="{00000000-0005-0000-0000-0000B81D0000}"/>
    <cellStyle name="Input 2 13 5 2" xfId="16069" xr:uid="{00000000-0005-0000-0000-0000B91D0000}"/>
    <cellStyle name="Input 2 13 5 2 2" xfId="30901" xr:uid="{00000000-0005-0000-0000-0000BA1D0000}"/>
    <cellStyle name="Input 2 13 5 3" xfId="22474" xr:uid="{00000000-0005-0000-0000-0000BB1D0000}"/>
    <cellStyle name="Input 2 13 6" xfId="12139" xr:uid="{00000000-0005-0000-0000-0000BC1D0000}"/>
    <cellStyle name="Input 2 13 6 2" xfId="26971" xr:uid="{00000000-0005-0000-0000-0000BD1D0000}"/>
    <cellStyle name="Input 2 13 7" xfId="9735" xr:uid="{00000000-0005-0000-0000-0000BE1D0000}"/>
    <cellStyle name="Input 2 13 7 2" xfId="20033" xr:uid="{00000000-0005-0000-0000-0000BF1D0000}"/>
    <cellStyle name="Input 2 14" xfId="2221" xr:uid="{00000000-0005-0000-0000-0000C01D0000}"/>
    <cellStyle name="Input 2 14 2" xfId="3444" xr:uid="{00000000-0005-0000-0000-0000C11D0000}"/>
    <cellStyle name="Input 2 14 2 2" xfId="7507" xr:uid="{00000000-0005-0000-0000-0000C21D0000}"/>
    <cellStyle name="Input 2 14 2 2 2" xfId="23480" xr:uid="{00000000-0005-0000-0000-0000C31D0000}"/>
    <cellStyle name="Input 2 14 2 3" xfId="13781" xr:uid="{00000000-0005-0000-0000-0000C41D0000}"/>
    <cellStyle name="Input 2 14 2 3 2" xfId="28613" xr:uid="{00000000-0005-0000-0000-0000C51D0000}"/>
    <cellStyle name="Input 2 14 2 4" xfId="21156" xr:uid="{00000000-0005-0000-0000-0000C61D0000}"/>
    <cellStyle name="Input 2 14 3" xfId="5189" xr:uid="{00000000-0005-0000-0000-0000C71D0000}"/>
    <cellStyle name="Input 2 14 3 2" xfId="9228" xr:uid="{00000000-0005-0000-0000-0000C81D0000}"/>
    <cellStyle name="Input 2 14 3 2 2" xfId="24566" xr:uid="{00000000-0005-0000-0000-0000C91D0000}"/>
    <cellStyle name="Input 2 14 3 3" xfId="15507" xr:uid="{00000000-0005-0000-0000-0000CA1D0000}"/>
    <cellStyle name="Input 2 14 3 3 2" xfId="30339" xr:uid="{00000000-0005-0000-0000-0000CB1D0000}"/>
    <cellStyle name="Input 2 14 3 4" xfId="22073" xr:uid="{00000000-0005-0000-0000-0000CC1D0000}"/>
    <cellStyle name="Input 2 14 4" xfId="4219" xr:uid="{00000000-0005-0000-0000-0000CD1D0000}"/>
    <cellStyle name="Input 2 14 4 2" xfId="8260" xr:uid="{00000000-0005-0000-0000-0000CE1D0000}"/>
    <cellStyle name="Input 2 14 4 2 2" xfId="23955" xr:uid="{00000000-0005-0000-0000-0000CF1D0000}"/>
    <cellStyle name="Input 2 14 4 3" xfId="14551" xr:uid="{00000000-0005-0000-0000-0000D01D0000}"/>
    <cellStyle name="Input 2 14 4 3 2" xfId="29383" xr:uid="{00000000-0005-0000-0000-0000D11D0000}"/>
    <cellStyle name="Input 2 14 4 4" xfId="21580" xr:uid="{00000000-0005-0000-0000-0000D21D0000}"/>
    <cellStyle name="Input 2 14 5" xfId="6335" xr:uid="{00000000-0005-0000-0000-0000D31D0000}"/>
    <cellStyle name="Input 2 14 5 2" xfId="22737" xr:uid="{00000000-0005-0000-0000-0000D41D0000}"/>
    <cellStyle name="Input 2 14 6" xfId="12589" xr:uid="{00000000-0005-0000-0000-0000D51D0000}"/>
    <cellStyle name="Input 2 14 6 2" xfId="27421" xr:uid="{00000000-0005-0000-0000-0000D61D0000}"/>
    <cellStyle name="Input 2 14 7" xfId="20416" xr:uid="{00000000-0005-0000-0000-0000D71D0000}"/>
    <cellStyle name="Input 2 15" xfId="3143" xr:uid="{00000000-0005-0000-0000-0000D81D0000}"/>
    <cellStyle name="Input 2 15 2" xfId="7207" xr:uid="{00000000-0005-0000-0000-0000D91D0000}"/>
    <cellStyle name="Input 2 15 2 2" xfId="23276" xr:uid="{00000000-0005-0000-0000-0000DA1D0000}"/>
    <cellStyle name="Input 2 15 3" xfId="13481" xr:uid="{00000000-0005-0000-0000-0000DB1D0000}"/>
    <cellStyle name="Input 2 15 3 2" xfId="28313" xr:uid="{00000000-0005-0000-0000-0000DC1D0000}"/>
    <cellStyle name="Input 2 15 4" xfId="20967" xr:uid="{00000000-0005-0000-0000-0000DD1D0000}"/>
    <cellStyle name="Input 2 16" xfId="3986" xr:uid="{00000000-0005-0000-0000-0000DE1D0000}"/>
    <cellStyle name="Input 2 16 2" xfId="8034" xr:uid="{00000000-0005-0000-0000-0000DF1D0000}"/>
    <cellStyle name="Input 2 16 2 2" xfId="23823" xr:uid="{00000000-0005-0000-0000-0000E01D0000}"/>
    <cellStyle name="Input 2 16 3" xfId="14319" xr:uid="{00000000-0005-0000-0000-0000E11D0000}"/>
    <cellStyle name="Input 2 16 3 2" xfId="29151" xr:uid="{00000000-0005-0000-0000-0000E21D0000}"/>
    <cellStyle name="Input 2 16 4" xfId="21462" xr:uid="{00000000-0005-0000-0000-0000E31D0000}"/>
    <cellStyle name="Input 2 17" xfId="2283" xr:uid="{00000000-0005-0000-0000-0000E41D0000}"/>
    <cellStyle name="Input 2 17 2" xfId="6395" xr:uid="{00000000-0005-0000-0000-0000E51D0000}"/>
    <cellStyle name="Input 2 17 2 2" xfId="22797" xr:uid="{00000000-0005-0000-0000-0000E61D0000}"/>
    <cellStyle name="Input 2 17 3" xfId="12623" xr:uid="{00000000-0005-0000-0000-0000E71D0000}"/>
    <cellStyle name="Input 2 17 3 2" xfId="27455" xr:uid="{00000000-0005-0000-0000-0000E81D0000}"/>
    <cellStyle name="Input 2 17 4" xfId="20449" xr:uid="{00000000-0005-0000-0000-0000E91D0000}"/>
    <cellStyle name="Input 2 18" xfId="5249" xr:uid="{00000000-0005-0000-0000-0000EA1D0000}"/>
    <cellStyle name="Input 2 18 2" xfId="15565" xr:uid="{00000000-0005-0000-0000-0000EB1D0000}"/>
    <cellStyle name="Input 2 18 2 2" xfId="30397" xr:uid="{00000000-0005-0000-0000-0000EC1D0000}"/>
    <cellStyle name="Input 2 18 3" xfId="22106" xr:uid="{00000000-0005-0000-0000-0000ED1D0000}"/>
    <cellStyle name="Input 2 19" xfId="5407" xr:uid="{00000000-0005-0000-0000-0000EE1D0000}"/>
    <cellStyle name="Input 2 19 2" xfId="15643" xr:uid="{00000000-0005-0000-0000-0000EF1D0000}"/>
    <cellStyle name="Input 2 19 2 2" xfId="30475" xr:uid="{00000000-0005-0000-0000-0000F01D0000}"/>
    <cellStyle name="Input 2 19 3" xfId="22168" xr:uid="{00000000-0005-0000-0000-0000F11D0000}"/>
    <cellStyle name="Input 2 2" xfId="1113" xr:uid="{00000000-0005-0000-0000-0000F21D0000}"/>
    <cellStyle name="Input 2 2 10" xfId="2284" xr:uid="{00000000-0005-0000-0000-0000F31D0000}"/>
    <cellStyle name="Input 2 2 10 2" xfId="6396" xr:uid="{00000000-0005-0000-0000-0000F41D0000}"/>
    <cellStyle name="Input 2 2 10 2 2" xfId="22798" xr:uid="{00000000-0005-0000-0000-0000F51D0000}"/>
    <cellStyle name="Input 2 2 10 3" xfId="12624" xr:uid="{00000000-0005-0000-0000-0000F61D0000}"/>
    <cellStyle name="Input 2 2 10 3 2" xfId="27456" xr:uid="{00000000-0005-0000-0000-0000F71D0000}"/>
    <cellStyle name="Input 2 2 10 4" xfId="20450" xr:uid="{00000000-0005-0000-0000-0000F81D0000}"/>
    <cellStyle name="Input 2 2 11" xfId="5250" xr:uid="{00000000-0005-0000-0000-0000F91D0000}"/>
    <cellStyle name="Input 2 2 11 2" xfId="15566" xr:uid="{00000000-0005-0000-0000-0000FA1D0000}"/>
    <cellStyle name="Input 2 2 11 2 2" xfId="30398" xr:uid="{00000000-0005-0000-0000-0000FB1D0000}"/>
    <cellStyle name="Input 2 2 11 3" xfId="22107" xr:uid="{00000000-0005-0000-0000-0000FC1D0000}"/>
    <cellStyle name="Input 2 2 12" xfId="5408" xr:uid="{00000000-0005-0000-0000-0000FD1D0000}"/>
    <cellStyle name="Input 2 2 12 2" xfId="15644" xr:uid="{00000000-0005-0000-0000-0000FE1D0000}"/>
    <cellStyle name="Input 2 2 12 2 2" xfId="30476" xr:uid="{00000000-0005-0000-0000-0000FF1D0000}"/>
    <cellStyle name="Input 2 2 12 3" xfId="22169" xr:uid="{00000000-0005-0000-0000-0000001E0000}"/>
    <cellStyle name="Input 2 2 13" xfId="9383" xr:uid="{00000000-0005-0000-0000-0000011E0000}"/>
    <cellStyle name="Input 2 2 13 2" xfId="24689" xr:uid="{00000000-0005-0000-0000-0000021E0000}"/>
    <cellStyle name="Input 2 2 14" xfId="5372" xr:uid="{00000000-0005-0000-0000-0000031E0000}"/>
    <cellStyle name="Input 2 2 14 2" xfId="18246" xr:uid="{00000000-0005-0000-0000-0000041E0000}"/>
    <cellStyle name="Input 2 2 2" xfId="1320" xr:uid="{00000000-0005-0000-0000-0000051E0000}"/>
    <cellStyle name="Input 2 2 2 2" xfId="1824" xr:uid="{00000000-0005-0000-0000-0000061E0000}"/>
    <cellStyle name="Input 2 2 2 2 2" xfId="3642" xr:uid="{00000000-0005-0000-0000-0000071E0000}"/>
    <cellStyle name="Input 2 2 2 2 2 2" xfId="7701" xr:uid="{00000000-0005-0000-0000-0000081E0000}"/>
    <cellStyle name="Input 2 2 2 2 2 2 2" xfId="23601" xr:uid="{00000000-0005-0000-0000-0000091E0000}"/>
    <cellStyle name="Input 2 2 2 2 2 3" xfId="13977" xr:uid="{00000000-0005-0000-0000-00000A1E0000}"/>
    <cellStyle name="Input 2 2 2 2 2 3 2" xfId="28809" xr:uid="{00000000-0005-0000-0000-00000B1E0000}"/>
    <cellStyle name="Input 2 2 2 2 2 4" xfId="21267" xr:uid="{00000000-0005-0000-0000-00000C1E0000}"/>
    <cellStyle name="Input 2 2 2 2 3" xfId="4802" xr:uid="{00000000-0005-0000-0000-00000D1E0000}"/>
    <cellStyle name="Input 2 2 2 2 3 2" xfId="8841" xr:uid="{00000000-0005-0000-0000-00000E1E0000}"/>
    <cellStyle name="Input 2 2 2 2 3 2 2" xfId="24339" xr:uid="{00000000-0005-0000-0000-00000F1E0000}"/>
    <cellStyle name="Input 2 2 2 2 3 3" xfId="15126" xr:uid="{00000000-0005-0000-0000-0000101E0000}"/>
    <cellStyle name="Input 2 2 2 2 3 3 2" xfId="29958" xr:uid="{00000000-0005-0000-0000-0000111E0000}"/>
    <cellStyle name="Input 2 2 2 2 3 4" xfId="21877" xr:uid="{00000000-0005-0000-0000-0000121E0000}"/>
    <cellStyle name="Input 2 2 2 2 4" xfId="2792" xr:uid="{00000000-0005-0000-0000-0000131E0000}"/>
    <cellStyle name="Input 2 2 2 2 4 2" xfId="6883" xr:uid="{00000000-0005-0000-0000-0000141E0000}"/>
    <cellStyle name="Input 2 2 2 2 4 2 2" xfId="23090" xr:uid="{00000000-0005-0000-0000-0000151E0000}"/>
    <cellStyle name="Input 2 2 2 2 4 3" xfId="13130" xr:uid="{00000000-0005-0000-0000-0000161E0000}"/>
    <cellStyle name="Input 2 2 2 2 4 3 2" xfId="27962" xr:uid="{00000000-0005-0000-0000-0000171E0000}"/>
    <cellStyle name="Input 2 2 2 2 4 4" xfId="20750" xr:uid="{00000000-0005-0000-0000-0000181E0000}"/>
    <cellStyle name="Input 2 2 2 2 5" xfId="5956" xr:uid="{00000000-0005-0000-0000-0000191E0000}"/>
    <cellStyle name="Input 2 2 2 2 5 2" xfId="16148" xr:uid="{00000000-0005-0000-0000-00001A1E0000}"/>
    <cellStyle name="Input 2 2 2 2 5 2 2" xfId="30980" xr:uid="{00000000-0005-0000-0000-00001B1E0000}"/>
    <cellStyle name="Input 2 2 2 2 5 3" xfId="22521" xr:uid="{00000000-0005-0000-0000-00001C1E0000}"/>
    <cellStyle name="Input 2 2 2 2 6" xfId="12218" xr:uid="{00000000-0005-0000-0000-00001D1E0000}"/>
    <cellStyle name="Input 2 2 2 2 6 2" xfId="27050" xr:uid="{00000000-0005-0000-0000-00001E1E0000}"/>
    <cellStyle name="Input 2 2 2 2 7" xfId="9814" xr:uid="{00000000-0005-0000-0000-00001F1E0000}"/>
    <cellStyle name="Input 2 2 2 2 7 2" xfId="20065" xr:uid="{00000000-0005-0000-0000-0000201E0000}"/>
    <cellStyle name="Input 2 2 2 3" xfId="3268" xr:uid="{00000000-0005-0000-0000-0000211E0000}"/>
    <cellStyle name="Input 2 2 2 3 2" xfId="7332" xr:uid="{00000000-0005-0000-0000-0000221E0000}"/>
    <cellStyle name="Input 2 2 2 3 2 2" xfId="23365" xr:uid="{00000000-0005-0000-0000-0000231E0000}"/>
    <cellStyle name="Input 2 2 2 3 3" xfId="13605" xr:uid="{00000000-0005-0000-0000-0000241E0000}"/>
    <cellStyle name="Input 2 2 2 3 3 2" xfId="28437" xr:uid="{00000000-0005-0000-0000-0000251E0000}"/>
    <cellStyle name="Input 2 2 2 3 4" xfId="21052" xr:uid="{00000000-0005-0000-0000-0000261E0000}"/>
    <cellStyle name="Input 2 2 2 4" xfId="4382" xr:uid="{00000000-0005-0000-0000-0000271E0000}"/>
    <cellStyle name="Input 2 2 2 4 2" xfId="8421" xr:uid="{00000000-0005-0000-0000-0000281E0000}"/>
    <cellStyle name="Input 2 2 2 4 2 2" xfId="24079" xr:uid="{00000000-0005-0000-0000-0000291E0000}"/>
    <cellStyle name="Input 2 2 2 4 3" xfId="14711" xr:uid="{00000000-0005-0000-0000-00002A1E0000}"/>
    <cellStyle name="Input 2 2 2 4 3 2" xfId="29543" xr:uid="{00000000-0005-0000-0000-00002B1E0000}"/>
    <cellStyle name="Input 2 2 2 4 4" xfId="21647" xr:uid="{00000000-0005-0000-0000-00002C1E0000}"/>
    <cellStyle name="Input 2 2 2 5" xfId="2372" xr:uid="{00000000-0005-0000-0000-00002D1E0000}"/>
    <cellStyle name="Input 2 2 2 5 2" xfId="6484" xr:uid="{00000000-0005-0000-0000-00002E1E0000}"/>
    <cellStyle name="Input 2 2 2 5 2 2" xfId="22854" xr:uid="{00000000-0005-0000-0000-00002F1E0000}"/>
    <cellStyle name="Input 2 2 2 5 3" xfId="12711" xr:uid="{00000000-0005-0000-0000-0000301E0000}"/>
    <cellStyle name="Input 2 2 2 5 3 2" xfId="27543" xr:uid="{00000000-0005-0000-0000-0000311E0000}"/>
    <cellStyle name="Input 2 2 2 5 4" xfId="20496" xr:uid="{00000000-0005-0000-0000-0000321E0000}"/>
    <cellStyle name="Input 2 2 2 6" xfId="5497" xr:uid="{00000000-0005-0000-0000-0000331E0000}"/>
    <cellStyle name="Input 2 2 2 6 2" xfId="15732" xr:uid="{00000000-0005-0000-0000-0000341E0000}"/>
    <cellStyle name="Input 2 2 2 6 2 2" xfId="30564" xr:uid="{00000000-0005-0000-0000-0000351E0000}"/>
    <cellStyle name="Input 2 2 2 6 3" xfId="22225" xr:uid="{00000000-0005-0000-0000-0000361E0000}"/>
    <cellStyle name="Input 2 2 2 7" xfId="11747" xr:uid="{00000000-0005-0000-0000-0000371E0000}"/>
    <cellStyle name="Input 2 2 2 7 2" xfId="26579" xr:uid="{00000000-0005-0000-0000-0000381E0000}"/>
    <cellStyle name="Input 2 2 2 8" xfId="9418" xr:uid="{00000000-0005-0000-0000-0000391E0000}"/>
    <cellStyle name="Input 2 2 2 8 2" xfId="19722" xr:uid="{00000000-0005-0000-0000-00003A1E0000}"/>
    <cellStyle name="Input 2 2 3" xfId="1478" xr:uid="{00000000-0005-0000-0000-00003B1E0000}"/>
    <cellStyle name="Input 2 2 3 2" xfId="1979" xr:uid="{00000000-0005-0000-0000-00003C1E0000}"/>
    <cellStyle name="Input 2 2 3 2 2" xfId="3604" xr:uid="{00000000-0005-0000-0000-00003D1E0000}"/>
    <cellStyle name="Input 2 2 3 2 2 2" xfId="7665" xr:uid="{00000000-0005-0000-0000-00003E1E0000}"/>
    <cellStyle name="Input 2 2 3 2 2 2 2" xfId="23576" xr:uid="{00000000-0005-0000-0000-00003F1E0000}"/>
    <cellStyle name="Input 2 2 3 2 2 3" xfId="13940" xr:uid="{00000000-0005-0000-0000-0000401E0000}"/>
    <cellStyle name="Input 2 2 3 2 2 3 2" xfId="28772" xr:uid="{00000000-0005-0000-0000-0000411E0000}"/>
    <cellStyle name="Input 2 2 3 2 2 4" xfId="21246" xr:uid="{00000000-0005-0000-0000-0000421E0000}"/>
    <cellStyle name="Input 2 2 3 2 3" xfId="4943" xr:uid="{00000000-0005-0000-0000-0000431E0000}"/>
    <cellStyle name="Input 2 2 3 2 3 2" xfId="8982" xr:uid="{00000000-0005-0000-0000-0000441E0000}"/>
    <cellStyle name="Input 2 2 3 2 3 2 2" xfId="24448" xr:uid="{00000000-0005-0000-0000-0000451E0000}"/>
    <cellStyle name="Input 2 2 3 2 3 3" xfId="15265" xr:uid="{00000000-0005-0000-0000-0000461E0000}"/>
    <cellStyle name="Input 2 2 3 2 3 3 2" xfId="30097" xr:uid="{00000000-0005-0000-0000-0000471E0000}"/>
    <cellStyle name="Input 2 2 3 2 3 4" xfId="21978" xr:uid="{00000000-0005-0000-0000-0000481E0000}"/>
    <cellStyle name="Input 2 2 3 2 4" xfId="2933" xr:uid="{00000000-0005-0000-0000-0000491E0000}"/>
    <cellStyle name="Input 2 2 3 2 4 2" xfId="7017" xr:uid="{00000000-0005-0000-0000-00004A1E0000}"/>
    <cellStyle name="Input 2 2 3 2 4 2 2" xfId="23191" xr:uid="{00000000-0005-0000-0000-00004B1E0000}"/>
    <cellStyle name="Input 2 2 3 2 4 3" xfId="13271" xr:uid="{00000000-0005-0000-0000-00004C1E0000}"/>
    <cellStyle name="Input 2 2 3 2 4 3 2" xfId="28103" xr:uid="{00000000-0005-0000-0000-00004D1E0000}"/>
    <cellStyle name="Input 2 2 3 2 4 4" xfId="20859" xr:uid="{00000000-0005-0000-0000-00004E1E0000}"/>
    <cellStyle name="Input 2 2 3 2 5" xfId="6109" xr:uid="{00000000-0005-0000-0000-00004F1E0000}"/>
    <cellStyle name="Input 2 2 3 2 5 2" xfId="16296" xr:uid="{00000000-0005-0000-0000-0000501E0000}"/>
    <cellStyle name="Input 2 2 3 2 5 2 2" xfId="31128" xr:uid="{00000000-0005-0000-0000-0000511E0000}"/>
    <cellStyle name="Input 2 2 3 2 5 3" xfId="22642" xr:uid="{00000000-0005-0000-0000-0000521E0000}"/>
    <cellStyle name="Input 2 2 3 2 6" xfId="12366" xr:uid="{00000000-0005-0000-0000-0000531E0000}"/>
    <cellStyle name="Input 2 2 3 2 6 2" xfId="27198" xr:uid="{00000000-0005-0000-0000-0000541E0000}"/>
    <cellStyle name="Input 2 2 3 2 7" xfId="9948" xr:uid="{00000000-0005-0000-0000-0000551E0000}"/>
    <cellStyle name="Input 2 2 3 2 7 2" xfId="20150" xr:uid="{00000000-0005-0000-0000-0000561E0000}"/>
    <cellStyle name="Input 2 2 3 3" xfId="3245" xr:uid="{00000000-0005-0000-0000-0000571E0000}"/>
    <cellStyle name="Input 2 2 3 3 2" xfId="7309" xr:uid="{00000000-0005-0000-0000-0000581E0000}"/>
    <cellStyle name="Input 2 2 3 3 2 2" xfId="23348" xr:uid="{00000000-0005-0000-0000-0000591E0000}"/>
    <cellStyle name="Input 2 2 3 3 3" xfId="13582" xr:uid="{00000000-0005-0000-0000-00005A1E0000}"/>
    <cellStyle name="Input 2 2 3 3 3 2" xfId="28414" xr:uid="{00000000-0005-0000-0000-00005B1E0000}"/>
    <cellStyle name="Input 2 2 3 3 4" xfId="21035" xr:uid="{00000000-0005-0000-0000-00005C1E0000}"/>
    <cellStyle name="Input 2 2 3 4" xfId="4523" xr:uid="{00000000-0005-0000-0000-00005D1E0000}"/>
    <cellStyle name="Input 2 2 3 4 2" xfId="8562" xr:uid="{00000000-0005-0000-0000-00005E1E0000}"/>
    <cellStyle name="Input 2 2 3 4 2 2" xfId="24188" xr:uid="{00000000-0005-0000-0000-00005F1E0000}"/>
    <cellStyle name="Input 2 2 3 4 3" xfId="14850" xr:uid="{00000000-0005-0000-0000-0000601E0000}"/>
    <cellStyle name="Input 2 2 3 4 3 2" xfId="29682" xr:uid="{00000000-0005-0000-0000-0000611E0000}"/>
    <cellStyle name="Input 2 2 3 4 4" xfId="21748" xr:uid="{00000000-0005-0000-0000-0000621E0000}"/>
    <cellStyle name="Input 2 2 3 5" xfId="2513" xr:uid="{00000000-0005-0000-0000-0000631E0000}"/>
    <cellStyle name="Input 2 2 3 5 2" xfId="6619" xr:uid="{00000000-0005-0000-0000-0000641E0000}"/>
    <cellStyle name="Input 2 2 3 5 2 2" xfId="22957" xr:uid="{00000000-0005-0000-0000-0000651E0000}"/>
    <cellStyle name="Input 2 2 3 5 3" xfId="12851" xr:uid="{00000000-0005-0000-0000-0000661E0000}"/>
    <cellStyle name="Input 2 2 3 5 3 2" xfId="27683" xr:uid="{00000000-0005-0000-0000-0000671E0000}"/>
    <cellStyle name="Input 2 2 3 5 4" xfId="20603" xr:uid="{00000000-0005-0000-0000-0000681E0000}"/>
    <cellStyle name="Input 2 2 3 6" xfId="5636" xr:uid="{00000000-0005-0000-0000-0000691E0000}"/>
    <cellStyle name="Input 2 2 3 6 2" xfId="15871" xr:uid="{00000000-0005-0000-0000-00006A1E0000}"/>
    <cellStyle name="Input 2 2 3 6 2 2" xfId="30703" xr:uid="{00000000-0005-0000-0000-00006B1E0000}"/>
    <cellStyle name="Input 2 2 3 6 3" xfId="22332" xr:uid="{00000000-0005-0000-0000-00006C1E0000}"/>
    <cellStyle name="Input 2 2 3 7" xfId="11895" xr:uid="{00000000-0005-0000-0000-00006D1E0000}"/>
    <cellStyle name="Input 2 2 3 7 2" xfId="26727" xr:uid="{00000000-0005-0000-0000-00006E1E0000}"/>
    <cellStyle name="Input 2 2 3 8" xfId="9553" xr:uid="{00000000-0005-0000-0000-00006F1E0000}"/>
    <cellStyle name="Input 2 2 3 8 2" xfId="19855" xr:uid="{00000000-0005-0000-0000-0000701E0000}"/>
    <cellStyle name="Input 2 2 4" xfId="1399" xr:uid="{00000000-0005-0000-0000-0000711E0000}"/>
    <cellStyle name="Input 2 2 4 2" xfId="1901" xr:uid="{00000000-0005-0000-0000-0000721E0000}"/>
    <cellStyle name="Input 2 2 4 2 2" xfId="3848" xr:uid="{00000000-0005-0000-0000-0000731E0000}"/>
    <cellStyle name="Input 2 2 4 2 2 2" xfId="7901" xr:uid="{00000000-0005-0000-0000-0000741E0000}"/>
    <cellStyle name="Input 2 2 4 2 2 2 2" xfId="23738" xr:uid="{00000000-0005-0000-0000-0000751E0000}"/>
    <cellStyle name="Input 2 2 4 2 2 3" xfId="14183" xr:uid="{00000000-0005-0000-0000-0000761E0000}"/>
    <cellStyle name="Input 2 2 4 2 2 3 2" xfId="29015" xr:uid="{00000000-0005-0000-0000-0000771E0000}"/>
    <cellStyle name="Input 2 2 4 2 2 4" xfId="21384" xr:uid="{00000000-0005-0000-0000-0000781E0000}"/>
    <cellStyle name="Input 2 2 4 2 3" xfId="4879" xr:uid="{00000000-0005-0000-0000-0000791E0000}"/>
    <cellStyle name="Input 2 2 4 2 3 2" xfId="8918" xr:uid="{00000000-0005-0000-0000-00007A1E0000}"/>
    <cellStyle name="Input 2 2 4 2 3 2 2" xfId="24384" xr:uid="{00000000-0005-0000-0000-00007B1E0000}"/>
    <cellStyle name="Input 2 2 4 2 3 3" xfId="15202" xr:uid="{00000000-0005-0000-0000-00007C1E0000}"/>
    <cellStyle name="Input 2 2 4 2 3 3 2" xfId="30034" xr:uid="{00000000-0005-0000-0000-00007D1E0000}"/>
    <cellStyle name="Input 2 2 4 2 3 4" xfId="21916" xr:uid="{00000000-0005-0000-0000-00007E1E0000}"/>
    <cellStyle name="Input 2 2 4 2 4" xfId="2869" xr:uid="{00000000-0005-0000-0000-00007F1E0000}"/>
    <cellStyle name="Input 2 2 4 2 4 2" xfId="6954" xr:uid="{00000000-0005-0000-0000-0000801E0000}"/>
    <cellStyle name="Input 2 2 4 2 4 2 2" xfId="23129" xr:uid="{00000000-0005-0000-0000-0000811E0000}"/>
    <cellStyle name="Input 2 2 4 2 4 3" xfId="13207" xr:uid="{00000000-0005-0000-0000-0000821E0000}"/>
    <cellStyle name="Input 2 2 4 2 4 3 2" xfId="28039" xr:uid="{00000000-0005-0000-0000-0000831E0000}"/>
    <cellStyle name="Input 2 2 4 2 4 4" xfId="20795" xr:uid="{00000000-0005-0000-0000-0000841E0000}"/>
    <cellStyle name="Input 2 2 4 2 5" xfId="6032" xr:uid="{00000000-0005-0000-0000-0000851E0000}"/>
    <cellStyle name="Input 2 2 4 2 5 2" xfId="16219" xr:uid="{00000000-0005-0000-0000-0000861E0000}"/>
    <cellStyle name="Input 2 2 4 2 5 2 2" xfId="31051" xr:uid="{00000000-0005-0000-0000-0000871E0000}"/>
    <cellStyle name="Input 2 2 4 2 5 3" xfId="22565" xr:uid="{00000000-0005-0000-0000-0000881E0000}"/>
    <cellStyle name="Input 2 2 4 2 6" xfId="12289" xr:uid="{00000000-0005-0000-0000-0000891E0000}"/>
    <cellStyle name="Input 2 2 4 2 6 2" xfId="27121" xr:uid="{00000000-0005-0000-0000-00008A1E0000}"/>
    <cellStyle name="Input 2 2 4 2 7" xfId="9885" xr:uid="{00000000-0005-0000-0000-00008B1E0000}"/>
    <cellStyle name="Input 2 2 4 2 7 2" xfId="20089" xr:uid="{00000000-0005-0000-0000-00008C1E0000}"/>
    <cellStyle name="Input 2 2 4 3" xfId="3223" xr:uid="{00000000-0005-0000-0000-00008D1E0000}"/>
    <cellStyle name="Input 2 2 4 3 2" xfId="7287" xr:uid="{00000000-0005-0000-0000-00008E1E0000}"/>
    <cellStyle name="Input 2 2 4 3 2 2" xfId="23330" xr:uid="{00000000-0005-0000-0000-00008F1E0000}"/>
    <cellStyle name="Input 2 2 4 3 3" xfId="13561" xr:uid="{00000000-0005-0000-0000-0000901E0000}"/>
    <cellStyle name="Input 2 2 4 3 3 2" xfId="28393" xr:uid="{00000000-0005-0000-0000-0000911E0000}"/>
    <cellStyle name="Input 2 2 4 3 4" xfId="21019" xr:uid="{00000000-0005-0000-0000-0000921E0000}"/>
    <cellStyle name="Input 2 2 4 4" xfId="4459" xr:uid="{00000000-0005-0000-0000-0000931E0000}"/>
    <cellStyle name="Input 2 2 4 4 2" xfId="8498" xr:uid="{00000000-0005-0000-0000-0000941E0000}"/>
    <cellStyle name="Input 2 2 4 4 2 2" xfId="24124" xr:uid="{00000000-0005-0000-0000-0000951E0000}"/>
    <cellStyle name="Input 2 2 4 4 3" xfId="14787" xr:uid="{00000000-0005-0000-0000-0000961E0000}"/>
    <cellStyle name="Input 2 2 4 4 3 2" xfId="29619" xr:uid="{00000000-0005-0000-0000-0000971E0000}"/>
    <cellStyle name="Input 2 2 4 4 4" xfId="21686" xr:uid="{00000000-0005-0000-0000-0000981E0000}"/>
    <cellStyle name="Input 2 2 4 5" xfId="2449" xr:uid="{00000000-0005-0000-0000-0000991E0000}"/>
    <cellStyle name="Input 2 2 4 5 2" xfId="6555" xr:uid="{00000000-0005-0000-0000-00009A1E0000}"/>
    <cellStyle name="Input 2 2 4 5 2 2" xfId="22893" xr:uid="{00000000-0005-0000-0000-00009B1E0000}"/>
    <cellStyle name="Input 2 2 4 5 3" xfId="12788" xr:uid="{00000000-0005-0000-0000-00009C1E0000}"/>
    <cellStyle name="Input 2 2 4 5 3 2" xfId="27620" xr:uid="{00000000-0005-0000-0000-00009D1E0000}"/>
    <cellStyle name="Input 2 2 4 5 4" xfId="20541" xr:uid="{00000000-0005-0000-0000-00009E1E0000}"/>
    <cellStyle name="Input 2 2 4 6" xfId="5573" xr:uid="{00000000-0005-0000-0000-00009F1E0000}"/>
    <cellStyle name="Input 2 2 4 6 2" xfId="15808" xr:uid="{00000000-0005-0000-0000-0000A01E0000}"/>
    <cellStyle name="Input 2 2 4 6 2 2" xfId="30640" xr:uid="{00000000-0005-0000-0000-0000A11E0000}"/>
    <cellStyle name="Input 2 2 4 6 3" xfId="22269" xr:uid="{00000000-0005-0000-0000-0000A21E0000}"/>
    <cellStyle name="Input 2 2 4 7" xfId="11818" xr:uid="{00000000-0005-0000-0000-0000A31E0000}"/>
    <cellStyle name="Input 2 2 4 7 2" xfId="26650" xr:uid="{00000000-0005-0000-0000-0000A41E0000}"/>
    <cellStyle name="Input 2 2 4 8" xfId="9490" xr:uid="{00000000-0005-0000-0000-0000A51E0000}"/>
    <cellStyle name="Input 2 2 4 8 2" xfId="19793" xr:uid="{00000000-0005-0000-0000-0000A61E0000}"/>
    <cellStyle name="Input 2 2 5" xfId="1390" xr:uid="{00000000-0005-0000-0000-0000A71E0000}"/>
    <cellStyle name="Input 2 2 5 2" xfId="1892" xr:uid="{00000000-0005-0000-0000-0000A81E0000}"/>
    <cellStyle name="Input 2 2 5 2 2" xfId="3612" xr:uid="{00000000-0005-0000-0000-0000A91E0000}"/>
    <cellStyle name="Input 2 2 5 2 2 2" xfId="7673" xr:uid="{00000000-0005-0000-0000-0000AA1E0000}"/>
    <cellStyle name="Input 2 2 5 2 2 2 2" xfId="23583" xr:uid="{00000000-0005-0000-0000-0000AB1E0000}"/>
    <cellStyle name="Input 2 2 5 2 2 3" xfId="13947" xr:uid="{00000000-0005-0000-0000-0000AC1E0000}"/>
    <cellStyle name="Input 2 2 5 2 2 3 2" xfId="28779" xr:uid="{00000000-0005-0000-0000-0000AD1E0000}"/>
    <cellStyle name="Input 2 2 5 2 2 4" xfId="21251" xr:uid="{00000000-0005-0000-0000-0000AE1E0000}"/>
    <cellStyle name="Input 2 2 5 2 3" xfId="4870" xr:uid="{00000000-0005-0000-0000-0000AF1E0000}"/>
    <cellStyle name="Input 2 2 5 2 3 2" xfId="8909" xr:uid="{00000000-0005-0000-0000-0000B01E0000}"/>
    <cellStyle name="Input 2 2 5 2 3 2 2" xfId="24375" xr:uid="{00000000-0005-0000-0000-0000B11E0000}"/>
    <cellStyle name="Input 2 2 5 2 3 3" xfId="15193" xr:uid="{00000000-0005-0000-0000-0000B21E0000}"/>
    <cellStyle name="Input 2 2 5 2 3 3 2" xfId="30025" xr:uid="{00000000-0005-0000-0000-0000B31E0000}"/>
    <cellStyle name="Input 2 2 5 2 3 4" xfId="21907" xr:uid="{00000000-0005-0000-0000-0000B41E0000}"/>
    <cellStyle name="Input 2 2 5 2 4" xfId="2860" xr:uid="{00000000-0005-0000-0000-0000B51E0000}"/>
    <cellStyle name="Input 2 2 5 2 4 2" xfId="6945" xr:uid="{00000000-0005-0000-0000-0000B61E0000}"/>
    <cellStyle name="Input 2 2 5 2 4 2 2" xfId="23120" xr:uid="{00000000-0005-0000-0000-0000B71E0000}"/>
    <cellStyle name="Input 2 2 5 2 4 3" xfId="13198" xr:uid="{00000000-0005-0000-0000-0000B81E0000}"/>
    <cellStyle name="Input 2 2 5 2 4 3 2" xfId="28030" xr:uid="{00000000-0005-0000-0000-0000B91E0000}"/>
    <cellStyle name="Input 2 2 5 2 4 4" xfId="20786" xr:uid="{00000000-0005-0000-0000-0000BA1E0000}"/>
    <cellStyle name="Input 2 2 5 2 5" xfId="6023" xr:uid="{00000000-0005-0000-0000-0000BB1E0000}"/>
    <cellStyle name="Input 2 2 5 2 5 2" xfId="16210" xr:uid="{00000000-0005-0000-0000-0000BC1E0000}"/>
    <cellStyle name="Input 2 2 5 2 5 2 2" xfId="31042" xr:uid="{00000000-0005-0000-0000-0000BD1E0000}"/>
    <cellStyle name="Input 2 2 5 2 5 3" xfId="22556" xr:uid="{00000000-0005-0000-0000-0000BE1E0000}"/>
    <cellStyle name="Input 2 2 5 2 6" xfId="12280" xr:uid="{00000000-0005-0000-0000-0000BF1E0000}"/>
    <cellStyle name="Input 2 2 5 2 6 2" xfId="27112" xr:uid="{00000000-0005-0000-0000-0000C01E0000}"/>
    <cellStyle name="Input 2 2 5 2 7" xfId="9876" xr:uid="{00000000-0005-0000-0000-0000C11E0000}"/>
    <cellStyle name="Input 2 2 5 2 7 2" xfId="20080" xr:uid="{00000000-0005-0000-0000-0000C21E0000}"/>
    <cellStyle name="Input 2 2 5 3" xfId="3898" xr:uid="{00000000-0005-0000-0000-0000C31E0000}"/>
    <cellStyle name="Input 2 2 5 3 2" xfId="7949" xr:uid="{00000000-0005-0000-0000-0000C41E0000}"/>
    <cellStyle name="Input 2 2 5 3 2 2" xfId="23768" xr:uid="{00000000-0005-0000-0000-0000C51E0000}"/>
    <cellStyle name="Input 2 2 5 3 3" xfId="14231" xr:uid="{00000000-0005-0000-0000-0000C61E0000}"/>
    <cellStyle name="Input 2 2 5 3 3 2" xfId="29063" xr:uid="{00000000-0005-0000-0000-0000C71E0000}"/>
    <cellStyle name="Input 2 2 5 3 4" xfId="21409" xr:uid="{00000000-0005-0000-0000-0000C81E0000}"/>
    <cellStyle name="Input 2 2 5 4" xfId="4450" xr:uid="{00000000-0005-0000-0000-0000C91E0000}"/>
    <cellStyle name="Input 2 2 5 4 2" xfId="8489" xr:uid="{00000000-0005-0000-0000-0000CA1E0000}"/>
    <cellStyle name="Input 2 2 5 4 2 2" xfId="24115" xr:uid="{00000000-0005-0000-0000-0000CB1E0000}"/>
    <cellStyle name="Input 2 2 5 4 3" xfId="14778" xr:uid="{00000000-0005-0000-0000-0000CC1E0000}"/>
    <cellStyle name="Input 2 2 5 4 3 2" xfId="29610" xr:uid="{00000000-0005-0000-0000-0000CD1E0000}"/>
    <cellStyle name="Input 2 2 5 4 4" xfId="21677" xr:uid="{00000000-0005-0000-0000-0000CE1E0000}"/>
    <cellStyle name="Input 2 2 5 5" xfId="2440" xr:uid="{00000000-0005-0000-0000-0000CF1E0000}"/>
    <cellStyle name="Input 2 2 5 5 2" xfId="6546" xr:uid="{00000000-0005-0000-0000-0000D01E0000}"/>
    <cellStyle name="Input 2 2 5 5 2 2" xfId="22884" xr:uid="{00000000-0005-0000-0000-0000D11E0000}"/>
    <cellStyle name="Input 2 2 5 5 3" xfId="12779" xr:uid="{00000000-0005-0000-0000-0000D21E0000}"/>
    <cellStyle name="Input 2 2 5 5 3 2" xfId="27611" xr:uid="{00000000-0005-0000-0000-0000D31E0000}"/>
    <cellStyle name="Input 2 2 5 5 4" xfId="20532" xr:uid="{00000000-0005-0000-0000-0000D41E0000}"/>
    <cellStyle name="Input 2 2 5 6" xfId="5564" xr:uid="{00000000-0005-0000-0000-0000D51E0000}"/>
    <cellStyle name="Input 2 2 5 6 2" xfId="15799" xr:uid="{00000000-0005-0000-0000-0000D61E0000}"/>
    <cellStyle name="Input 2 2 5 6 2 2" xfId="30631" xr:uid="{00000000-0005-0000-0000-0000D71E0000}"/>
    <cellStyle name="Input 2 2 5 6 3" xfId="22260" xr:uid="{00000000-0005-0000-0000-0000D81E0000}"/>
    <cellStyle name="Input 2 2 5 7" xfId="11809" xr:uid="{00000000-0005-0000-0000-0000D91E0000}"/>
    <cellStyle name="Input 2 2 5 7 2" xfId="26641" xr:uid="{00000000-0005-0000-0000-0000DA1E0000}"/>
    <cellStyle name="Input 2 2 5 8" xfId="9481" xr:uid="{00000000-0005-0000-0000-0000DB1E0000}"/>
    <cellStyle name="Input 2 2 5 8 2" xfId="19784" xr:uid="{00000000-0005-0000-0000-0000DC1E0000}"/>
    <cellStyle name="Input 2 2 6" xfId="1746" xr:uid="{00000000-0005-0000-0000-0000DD1E0000}"/>
    <cellStyle name="Input 2 2 6 2" xfId="3472" xr:uid="{00000000-0005-0000-0000-0000DE1E0000}"/>
    <cellStyle name="Input 2 2 6 2 2" xfId="7534" xr:uid="{00000000-0005-0000-0000-0000DF1E0000}"/>
    <cellStyle name="Input 2 2 6 2 2 2" xfId="23501" xr:uid="{00000000-0005-0000-0000-0000E01E0000}"/>
    <cellStyle name="Input 2 2 6 2 3" xfId="13809" xr:uid="{00000000-0005-0000-0000-0000E11E0000}"/>
    <cellStyle name="Input 2 2 6 2 3 2" xfId="28641" xr:uid="{00000000-0005-0000-0000-0000E21E0000}"/>
    <cellStyle name="Input 2 2 6 2 4" xfId="21177" xr:uid="{00000000-0005-0000-0000-0000E31E0000}"/>
    <cellStyle name="Input 2 2 6 3" xfId="4724" xr:uid="{00000000-0005-0000-0000-0000E41E0000}"/>
    <cellStyle name="Input 2 2 6 3 2" xfId="8763" xr:uid="{00000000-0005-0000-0000-0000E51E0000}"/>
    <cellStyle name="Input 2 2 6 3 2 2" xfId="24293" xr:uid="{00000000-0005-0000-0000-0000E61E0000}"/>
    <cellStyle name="Input 2 2 6 3 3" xfId="15048" xr:uid="{00000000-0005-0000-0000-0000E71E0000}"/>
    <cellStyle name="Input 2 2 6 3 3 2" xfId="29880" xr:uid="{00000000-0005-0000-0000-0000E81E0000}"/>
    <cellStyle name="Input 2 2 6 3 4" xfId="21831" xr:uid="{00000000-0005-0000-0000-0000E91E0000}"/>
    <cellStyle name="Input 2 2 6 4" xfId="2714" xr:uid="{00000000-0005-0000-0000-0000EA1E0000}"/>
    <cellStyle name="Input 2 2 6 4 2" xfId="6805" xr:uid="{00000000-0005-0000-0000-0000EB1E0000}"/>
    <cellStyle name="Input 2 2 6 4 2 2" xfId="23044" xr:uid="{00000000-0005-0000-0000-0000EC1E0000}"/>
    <cellStyle name="Input 2 2 6 4 3" xfId="13052" xr:uid="{00000000-0005-0000-0000-0000ED1E0000}"/>
    <cellStyle name="Input 2 2 6 4 3 2" xfId="27884" xr:uid="{00000000-0005-0000-0000-0000EE1E0000}"/>
    <cellStyle name="Input 2 2 6 4 4" xfId="20704" xr:uid="{00000000-0005-0000-0000-0000EF1E0000}"/>
    <cellStyle name="Input 2 2 6 5" xfId="5878" xr:uid="{00000000-0005-0000-0000-0000F01E0000}"/>
    <cellStyle name="Input 2 2 6 5 2" xfId="16070" xr:uid="{00000000-0005-0000-0000-0000F11E0000}"/>
    <cellStyle name="Input 2 2 6 5 2 2" xfId="30902" xr:uid="{00000000-0005-0000-0000-0000F21E0000}"/>
    <cellStyle name="Input 2 2 6 5 3" xfId="22475" xr:uid="{00000000-0005-0000-0000-0000F31E0000}"/>
    <cellStyle name="Input 2 2 6 6" xfId="12140" xr:uid="{00000000-0005-0000-0000-0000F41E0000}"/>
    <cellStyle name="Input 2 2 6 6 2" xfId="26972" xr:uid="{00000000-0005-0000-0000-0000F51E0000}"/>
    <cellStyle name="Input 2 2 6 7" xfId="9736" xr:uid="{00000000-0005-0000-0000-0000F61E0000}"/>
    <cellStyle name="Input 2 2 6 7 2" xfId="20034" xr:uid="{00000000-0005-0000-0000-0000F71E0000}"/>
    <cellStyle name="Input 2 2 7" xfId="2220" xr:uid="{00000000-0005-0000-0000-0000F81E0000}"/>
    <cellStyle name="Input 2 2 7 2" xfId="3423" xr:uid="{00000000-0005-0000-0000-0000F91E0000}"/>
    <cellStyle name="Input 2 2 7 2 2" xfId="7486" xr:uid="{00000000-0005-0000-0000-0000FA1E0000}"/>
    <cellStyle name="Input 2 2 7 2 2 2" xfId="23466" xr:uid="{00000000-0005-0000-0000-0000FB1E0000}"/>
    <cellStyle name="Input 2 2 7 2 3" xfId="13760" xr:uid="{00000000-0005-0000-0000-0000FC1E0000}"/>
    <cellStyle name="Input 2 2 7 2 3 2" xfId="28592" xr:uid="{00000000-0005-0000-0000-0000FD1E0000}"/>
    <cellStyle name="Input 2 2 7 2 4" xfId="21143" xr:uid="{00000000-0005-0000-0000-0000FE1E0000}"/>
    <cellStyle name="Input 2 2 7 3" xfId="5188" xr:uid="{00000000-0005-0000-0000-0000FF1E0000}"/>
    <cellStyle name="Input 2 2 7 3 2" xfId="9227" xr:uid="{00000000-0005-0000-0000-0000001F0000}"/>
    <cellStyle name="Input 2 2 7 3 2 2" xfId="24565" xr:uid="{00000000-0005-0000-0000-0000011F0000}"/>
    <cellStyle name="Input 2 2 7 3 3" xfId="15506" xr:uid="{00000000-0005-0000-0000-0000021F0000}"/>
    <cellStyle name="Input 2 2 7 3 3 2" xfId="30338" xr:uid="{00000000-0005-0000-0000-0000031F0000}"/>
    <cellStyle name="Input 2 2 7 3 4" xfId="22072" xr:uid="{00000000-0005-0000-0000-0000041F0000}"/>
    <cellStyle name="Input 2 2 7 4" xfId="4218" xr:uid="{00000000-0005-0000-0000-0000051F0000}"/>
    <cellStyle name="Input 2 2 7 4 2" xfId="8259" xr:uid="{00000000-0005-0000-0000-0000061F0000}"/>
    <cellStyle name="Input 2 2 7 4 2 2" xfId="23954" xr:uid="{00000000-0005-0000-0000-0000071F0000}"/>
    <cellStyle name="Input 2 2 7 4 3" xfId="14550" xr:uid="{00000000-0005-0000-0000-0000081F0000}"/>
    <cellStyle name="Input 2 2 7 4 3 2" xfId="29382" xr:uid="{00000000-0005-0000-0000-0000091F0000}"/>
    <cellStyle name="Input 2 2 7 4 4" xfId="21579" xr:uid="{00000000-0005-0000-0000-00000A1F0000}"/>
    <cellStyle name="Input 2 2 7 5" xfId="6334" xr:uid="{00000000-0005-0000-0000-00000B1F0000}"/>
    <cellStyle name="Input 2 2 7 5 2" xfId="22736" xr:uid="{00000000-0005-0000-0000-00000C1F0000}"/>
    <cellStyle name="Input 2 2 7 6" xfId="12588" xr:uid="{00000000-0005-0000-0000-00000D1F0000}"/>
    <cellStyle name="Input 2 2 7 6 2" xfId="27420" xr:uid="{00000000-0005-0000-0000-00000E1F0000}"/>
    <cellStyle name="Input 2 2 7 7" xfId="20415" xr:uid="{00000000-0005-0000-0000-00000F1F0000}"/>
    <cellStyle name="Input 2 2 8" xfId="4038" xr:uid="{00000000-0005-0000-0000-0000101F0000}"/>
    <cellStyle name="Input 2 2 8 2" xfId="8085" xr:uid="{00000000-0005-0000-0000-0000111F0000}"/>
    <cellStyle name="Input 2 2 8 2 2" xfId="23851" xr:uid="{00000000-0005-0000-0000-0000121F0000}"/>
    <cellStyle name="Input 2 2 8 3" xfId="14370" xr:uid="{00000000-0005-0000-0000-0000131F0000}"/>
    <cellStyle name="Input 2 2 8 3 2" xfId="29202" xr:uid="{00000000-0005-0000-0000-0000141F0000}"/>
    <cellStyle name="Input 2 2 8 4" xfId="21485" xr:uid="{00000000-0005-0000-0000-0000151F0000}"/>
    <cellStyle name="Input 2 2 9" xfId="3262" xr:uid="{00000000-0005-0000-0000-0000161F0000}"/>
    <cellStyle name="Input 2 2 9 2" xfId="7326" xr:uid="{00000000-0005-0000-0000-0000171F0000}"/>
    <cellStyle name="Input 2 2 9 2 2" xfId="23361" xr:uid="{00000000-0005-0000-0000-0000181F0000}"/>
    <cellStyle name="Input 2 2 9 3" xfId="13599" xr:uid="{00000000-0005-0000-0000-0000191F0000}"/>
    <cellStyle name="Input 2 2 9 3 2" xfId="28431" xr:uid="{00000000-0005-0000-0000-00001A1F0000}"/>
    <cellStyle name="Input 2 2 9 4" xfId="21048" xr:uid="{00000000-0005-0000-0000-00001B1F0000}"/>
    <cellStyle name="Input 2 20" xfId="9384" xr:uid="{00000000-0005-0000-0000-00001C1F0000}"/>
    <cellStyle name="Input 2 20 2" xfId="24690" xr:uid="{00000000-0005-0000-0000-00001D1F0000}"/>
    <cellStyle name="Input 2 21" xfId="5373" xr:uid="{00000000-0005-0000-0000-00001E1F0000}"/>
    <cellStyle name="Input 2 21 2" xfId="18247" xr:uid="{00000000-0005-0000-0000-00001F1F0000}"/>
    <cellStyle name="Input 2 3" xfId="1114" xr:uid="{00000000-0005-0000-0000-0000201F0000}"/>
    <cellStyle name="Input 2 3 10" xfId="2285" xr:uid="{00000000-0005-0000-0000-0000211F0000}"/>
    <cellStyle name="Input 2 3 10 2" xfId="6397" xr:uid="{00000000-0005-0000-0000-0000221F0000}"/>
    <cellStyle name="Input 2 3 10 2 2" xfId="22799" xr:uid="{00000000-0005-0000-0000-0000231F0000}"/>
    <cellStyle name="Input 2 3 10 3" xfId="12625" xr:uid="{00000000-0005-0000-0000-0000241F0000}"/>
    <cellStyle name="Input 2 3 10 3 2" xfId="27457" xr:uid="{00000000-0005-0000-0000-0000251F0000}"/>
    <cellStyle name="Input 2 3 10 4" xfId="20451" xr:uid="{00000000-0005-0000-0000-0000261F0000}"/>
    <cellStyle name="Input 2 3 11" xfId="5251" xr:uid="{00000000-0005-0000-0000-0000271F0000}"/>
    <cellStyle name="Input 2 3 11 2" xfId="15567" xr:uid="{00000000-0005-0000-0000-0000281F0000}"/>
    <cellStyle name="Input 2 3 11 2 2" xfId="30399" xr:uid="{00000000-0005-0000-0000-0000291F0000}"/>
    <cellStyle name="Input 2 3 11 3" xfId="22108" xr:uid="{00000000-0005-0000-0000-00002A1F0000}"/>
    <cellStyle name="Input 2 3 12" xfId="5409" xr:uid="{00000000-0005-0000-0000-00002B1F0000}"/>
    <cellStyle name="Input 2 3 12 2" xfId="15645" xr:uid="{00000000-0005-0000-0000-00002C1F0000}"/>
    <cellStyle name="Input 2 3 12 2 2" xfId="30477" xr:uid="{00000000-0005-0000-0000-00002D1F0000}"/>
    <cellStyle name="Input 2 3 12 3" xfId="22170" xr:uid="{00000000-0005-0000-0000-00002E1F0000}"/>
    <cellStyle name="Input 2 3 13" xfId="9382" xr:uid="{00000000-0005-0000-0000-00002F1F0000}"/>
    <cellStyle name="Input 2 3 13 2" xfId="24688" xr:uid="{00000000-0005-0000-0000-0000301F0000}"/>
    <cellStyle name="Input 2 3 14" xfId="5371" xr:uid="{00000000-0005-0000-0000-0000311F0000}"/>
    <cellStyle name="Input 2 3 14 2" xfId="18245" xr:uid="{00000000-0005-0000-0000-0000321F0000}"/>
    <cellStyle name="Input 2 3 2" xfId="1321" xr:uid="{00000000-0005-0000-0000-0000331F0000}"/>
    <cellStyle name="Input 2 3 2 2" xfId="1825" xr:uid="{00000000-0005-0000-0000-0000341F0000}"/>
    <cellStyle name="Input 2 3 2 2 2" xfId="3718" xr:uid="{00000000-0005-0000-0000-0000351F0000}"/>
    <cellStyle name="Input 2 3 2 2 2 2" xfId="7774" xr:uid="{00000000-0005-0000-0000-0000361F0000}"/>
    <cellStyle name="Input 2 3 2 2 2 2 2" xfId="23655" xr:uid="{00000000-0005-0000-0000-0000371F0000}"/>
    <cellStyle name="Input 2 3 2 2 2 3" xfId="14053" xr:uid="{00000000-0005-0000-0000-0000381F0000}"/>
    <cellStyle name="Input 2 3 2 2 2 3 2" xfId="28885" xr:uid="{00000000-0005-0000-0000-0000391F0000}"/>
    <cellStyle name="Input 2 3 2 2 2 4" xfId="21315" xr:uid="{00000000-0005-0000-0000-00003A1F0000}"/>
    <cellStyle name="Input 2 3 2 2 3" xfId="4803" xr:uid="{00000000-0005-0000-0000-00003B1F0000}"/>
    <cellStyle name="Input 2 3 2 2 3 2" xfId="8842" xr:uid="{00000000-0005-0000-0000-00003C1F0000}"/>
    <cellStyle name="Input 2 3 2 2 3 2 2" xfId="24340" xr:uid="{00000000-0005-0000-0000-00003D1F0000}"/>
    <cellStyle name="Input 2 3 2 2 3 3" xfId="15127" xr:uid="{00000000-0005-0000-0000-00003E1F0000}"/>
    <cellStyle name="Input 2 3 2 2 3 3 2" xfId="29959" xr:uid="{00000000-0005-0000-0000-00003F1F0000}"/>
    <cellStyle name="Input 2 3 2 2 3 4" xfId="21878" xr:uid="{00000000-0005-0000-0000-0000401F0000}"/>
    <cellStyle name="Input 2 3 2 2 4" xfId="2793" xr:uid="{00000000-0005-0000-0000-0000411F0000}"/>
    <cellStyle name="Input 2 3 2 2 4 2" xfId="6884" xr:uid="{00000000-0005-0000-0000-0000421F0000}"/>
    <cellStyle name="Input 2 3 2 2 4 2 2" xfId="23091" xr:uid="{00000000-0005-0000-0000-0000431F0000}"/>
    <cellStyle name="Input 2 3 2 2 4 3" xfId="13131" xr:uid="{00000000-0005-0000-0000-0000441F0000}"/>
    <cellStyle name="Input 2 3 2 2 4 3 2" xfId="27963" xr:uid="{00000000-0005-0000-0000-0000451F0000}"/>
    <cellStyle name="Input 2 3 2 2 4 4" xfId="20751" xr:uid="{00000000-0005-0000-0000-0000461F0000}"/>
    <cellStyle name="Input 2 3 2 2 5" xfId="5957" xr:uid="{00000000-0005-0000-0000-0000471F0000}"/>
    <cellStyle name="Input 2 3 2 2 5 2" xfId="16149" xr:uid="{00000000-0005-0000-0000-0000481F0000}"/>
    <cellStyle name="Input 2 3 2 2 5 2 2" xfId="30981" xr:uid="{00000000-0005-0000-0000-0000491F0000}"/>
    <cellStyle name="Input 2 3 2 2 5 3" xfId="22522" xr:uid="{00000000-0005-0000-0000-00004A1F0000}"/>
    <cellStyle name="Input 2 3 2 2 6" xfId="12219" xr:uid="{00000000-0005-0000-0000-00004B1F0000}"/>
    <cellStyle name="Input 2 3 2 2 6 2" xfId="27051" xr:uid="{00000000-0005-0000-0000-00004C1F0000}"/>
    <cellStyle name="Input 2 3 2 2 7" xfId="9815" xr:uid="{00000000-0005-0000-0000-00004D1F0000}"/>
    <cellStyle name="Input 2 3 2 2 7 2" xfId="20066" xr:uid="{00000000-0005-0000-0000-00004E1F0000}"/>
    <cellStyle name="Input 2 3 2 3" xfId="4003" xr:uid="{00000000-0005-0000-0000-00004F1F0000}"/>
    <cellStyle name="Input 2 3 2 3 2" xfId="8050" xr:uid="{00000000-0005-0000-0000-0000501F0000}"/>
    <cellStyle name="Input 2 3 2 3 2 2" xfId="23831" xr:uid="{00000000-0005-0000-0000-0000511F0000}"/>
    <cellStyle name="Input 2 3 2 3 3" xfId="14335" xr:uid="{00000000-0005-0000-0000-0000521F0000}"/>
    <cellStyle name="Input 2 3 2 3 3 2" xfId="29167" xr:uid="{00000000-0005-0000-0000-0000531F0000}"/>
    <cellStyle name="Input 2 3 2 3 4" xfId="21469" xr:uid="{00000000-0005-0000-0000-0000541F0000}"/>
    <cellStyle name="Input 2 3 2 4" xfId="4383" xr:uid="{00000000-0005-0000-0000-0000551F0000}"/>
    <cellStyle name="Input 2 3 2 4 2" xfId="8422" xr:uid="{00000000-0005-0000-0000-0000561F0000}"/>
    <cellStyle name="Input 2 3 2 4 2 2" xfId="24080" xr:uid="{00000000-0005-0000-0000-0000571F0000}"/>
    <cellStyle name="Input 2 3 2 4 3" xfId="14712" xr:uid="{00000000-0005-0000-0000-0000581F0000}"/>
    <cellStyle name="Input 2 3 2 4 3 2" xfId="29544" xr:uid="{00000000-0005-0000-0000-0000591F0000}"/>
    <cellStyle name="Input 2 3 2 4 4" xfId="21648" xr:uid="{00000000-0005-0000-0000-00005A1F0000}"/>
    <cellStyle name="Input 2 3 2 5" xfId="2373" xr:uid="{00000000-0005-0000-0000-00005B1F0000}"/>
    <cellStyle name="Input 2 3 2 5 2" xfId="6485" xr:uid="{00000000-0005-0000-0000-00005C1F0000}"/>
    <cellStyle name="Input 2 3 2 5 2 2" xfId="22855" xr:uid="{00000000-0005-0000-0000-00005D1F0000}"/>
    <cellStyle name="Input 2 3 2 5 3" xfId="12712" xr:uid="{00000000-0005-0000-0000-00005E1F0000}"/>
    <cellStyle name="Input 2 3 2 5 3 2" xfId="27544" xr:uid="{00000000-0005-0000-0000-00005F1F0000}"/>
    <cellStyle name="Input 2 3 2 5 4" xfId="20497" xr:uid="{00000000-0005-0000-0000-0000601F0000}"/>
    <cellStyle name="Input 2 3 2 6" xfId="5498" xr:uid="{00000000-0005-0000-0000-0000611F0000}"/>
    <cellStyle name="Input 2 3 2 6 2" xfId="15733" xr:uid="{00000000-0005-0000-0000-0000621F0000}"/>
    <cellStyle name="Input 2 3 2 6 2 2" xfId="30565" xr:uid="{00000000-0005-0000-0000-0000631F0000}"/>
    <cellStyle name="Input 2 3 2 6 3" xfId="22226" xr:uid="{00000000-0005-0000-0000-0000641F0000}"/>
    <cellStyle name="Input 2 3 2 7" xfId="11748" xr:uid="{00000000-0005-0000-0000-0000651F0000}"/>
    <cellStyle name="Input 2 3 2 7 2" xfId="26580" xr:uid="{00000000-0005-0000-0000-0000661F0000}"/>
    <cellStyle name="Input 2 3 2 8" xfId="9419" xr:uid="{00000000-0005-0000-0000-0000671F0000}"/>
    <cellStyle name="Input 2 3 2 8 2" xfId="19723" xr:uid="{00000000-0005-0000-0000-0000681F0000}"/>
    <cellStyle name="Input 2 3 3" xfId="1479" xr:uid="{00000000-0005-0000-0000-0000691F0000}"/>
    <cellStyle name="Input 2 3 3 2" xfId="1980" xr:uid="{00000000-0005-0000-0000-00006A1F0000}"/>
    <cellStyle name="Input 2 3 3 2 2" xfId="3386" xr:uid="{00000000-0005-0000-0000-00006B1F0000}"/>
    <cellStyle name="Input 2 3 3 2 2 2" xfId="7449" xr:uid="{00000000-0005-0000-0000-00006C1F0000}"/>
    <cellStyle name="Input 2 3 3 2 2 2 2" xfId="23441" xr:uid="{00000000-0005-0000-0000-00006D1F0000}"/>
    <cellStyle name="Input 2 3 3 2 2 3" xfId="13723" xr:uid="{00000000-0005-0000-0000-00006E1F0000}"/>
    <cellStyle name="Input 2 3 3 2 2 3 2" xfId="28555" xr:uid="{00000000-0005-0000-0000-00006F1F0000}"/>
    <cellStyle name="Input 2 3 3 2 2 4" xfId="21123" xr:uid="{00000000-0005-0000-0000-0000701F0000}"/>
    <cellStyle name="Input 2 3 3 2 3" xfId="4944" xr:uid="{00000000-0005-0000-0000-0000711F0000}"/>
    <cellStyle name="Input 2 3 3 2 3 2" xfId="8983" xr:uid="{00000000-0005-0000-0000-0000721F0000}"/>
    <cellStyle name="Input 2 3 3 2 3 2 2" xfId="24449" xr:uid="{00000000-0005-0000-0000-0000731F0000}"/>
    <cellStyle name="Input 2 3 3 2 3 3" xfId="15266" xr:uid="{00000000-0005-0000-0000-0000741F0000}"/>
    <cellStyle name="Input 2 3 3 2 3 3 2" xfId="30098" xr:uid="{00000000-0005-0000-0000-0000751F0000}"/>
    <cellStyle name="Input 2 3 3 2 3 4" xfId="21979" xr:uid="{00000000-0005-0000-0000-0000761F0000}"/>
    <cellStyle name="Input 2 3 3 2 4" xfId="2934" xr:uid="{00000000-0005-0000-0000-0000771F0000}"/>
    <cellStyle name="Input 2 3 3 2 4 2" xfId="7018" xr:uid="{00000000-0005-0000-0000-0000781F0000}"/>
    <cellStyle name="Input 2 3 3 2 4 2 2" xfId="23192" xr:uid="{00000000-0005-0000-0000-0000791F0000}"/>
    <cellStyle name="Input 2 3 3 2 4 3" xfId="13272" xr:uid="{00000000-0005-0000-0000-00007A1F0000}"/>
    <cellStyle name="Input 2 3 3 2 4 3 2" xfId="28104" xr:uid="{00000000-0005-0000-0000-00007B1F0000}"/>
    <cellStyle name="Input 2 3 3 2 4 4" xfId="20860" xr:uid="{00000000-0005-0000-0000-00007C1F0000}"/>
    <cellStyle name="Input 2 3 3 2 5" xfId="6110" xr:uid="{00000000-0005-0000-0000-00007D1F0000}"/>
    <cellStyle name="Input 2 3 3 2 5 2" xfId="16297" xr:uid="{00000000-0005-0000-0000-00007E1F0000}"/>
    <cellStyle name="Input 2 3 3 2 5 2 2" xfId="31129" xr:uid="{00000000-0005-0000-0000-00007F1F0000}"/>
    <cellStyle name="Input 2 3 3 2 5 3" xfId="22643" xr:uid="{00000000-0005-0000-0000-0000801F0000}"/>
    <cellStyle name="Input 2 3 3 2 6" xfId="12367" xr:uid="{00000000-0005-0000-0000-0000811F0000}"/>
    <cellStyle name="Input 2 3 3 2 6 2" xfId="27199" xr:uid="{00000000-0005-0000-0000-0000821F0000}"/>
    <cellStyle name="Input 2 3 3 2 7" xfId="9949" xr:uid="{00000000-0005-0000-0000-0000831F0000}"/>
    <cellStyle name="Input 2 3 3 2 7 2" xfId="20151" xr:uid="{00000000-0005-0000-0000-0000841F0000}"/>
    <cellStyle name="Input 2 3 3 3" xfId="3260" xr:uid="{00000000-0005-0000-0000-0000851F0000}"/>
    <cellStyle name="Input 2 3 3 3 2" xfId="7324" xr:uid="{00000000-0005-0000-0000-0000861F0000}"/>
    <cellStyle name="Input 2 3 3 3 2 2" xfId="23359" xr:uid="{00000000-0005-0000-0000-0000871F0000}"/>
    <cellStyle name="Input 2 3 3 3 3" xfId="13597" xr:uid="{00000000-0005-0000-0000-0000881F0000}"/>
    <cellStyle name="Input 2 3 3 3 3 2" xfId="28429" xr:uid="{00000000-0005-0000-0000-0000891F0000}"/>
    <cellStyle name="Input 2 3 3 3 4" xfId="21046" xr:uid="{00000000-0005-0000-0000-00008A1F0000}"/>
    <cellStyle name="Input 2 3 3 4" xfId="4524" xr:uid="{00000000-0005-0000-0000-00008B1F0000}"/>
    <cellStyle name="Input 2 3 3 4 2" xfId="8563" xr:uid="{00000000-0005-0000-0000-00008C1F0000}"/>
    <cellStyle name="Input 2 3 3 4 2 2" xfId="24189" xr:uid="{00000000-0005-0000-0000-00008D1F0000}"/>
    <cellStyle name="Input 2 3 3 4 3" xfId="14851" xr:uid="{00000000-0005-0000-0000-00008E1F0000}"/>
    <cellStyle name="Input 2 3 3 4 3 2" xfId="29683" xr:uid="{00000000-0005-0000-0000-00008F1F0000}"/>
    <cellStyle name="Input 2 3 3 4 4" xfId="21749" xr:uid="{00000000-0005-0000-0000-0000901F0000}"/>
    <cellStyle name="Input 2 3 3 5" xfId="2514" xr:uid="{00000000-0005-0000-0000-0000911F0000}"/>
    <cellStyle name="Input 2 3 3 5 2" xfId="6620" xr:uid="{00000000-0005-0000-0000-0000921F0000}"/>
    <cellStyle name="Input 2 3 3 5 2 2" xfId="22958" xr:uid="{00000000-0005-0000-0000-0000931F0000}"/>
    <cellStyle name="Input 2 3 3 5 3" xfId="12852" xr:uid="{00000000-0005-0000-0000-0000941F0000}"/>
    <cellStyle name="Input 2 3 3 5 3 2" xfId="27684" xr:uid="{00000000-0005-0000-0000-0000951F0000}"/>
    <cellStyle name="Input 2 3 3 5 4" xfId="20604" xr:uid="{00000000-0005-0000-0000-0000961F0000}"/>
    <cellStyle name="Input 2 3 3 6" xfId="5637" xr:uid="{00000000-0005-0000-0000-0000971F0000}"/>
    <cellStyle name="Input 2 3 3 6 2" xfId="15872" xr:uid="{00000000-0005-0000-0000-0000981F0000}"/>
    <cellStyle name="Input 2 3 3 6 2 2" xfId="30704" xr:uid="{00000000-0005-0000-0000-0000991F0000}"/>
    <cellStyle name="Input 2 3 3 6 3" xfId="22333" xr:uid="{00000000-0005-0000-0000-00009A1F0000}"/>
    <cellStyle name="Input 2 3 3 7" xfId="11896" xr:uid="{00000000-0005-0000-0000-00009B1F0000}"/>
    <cellStyle name="Input 2 3 3 7 2" xfId="26728" xr:uid="{00000000-0005-0000-0000-00009C1F0000}"/>
    <cellStyle name="Input 2 3 3 8" xfId="9554" xr:uid="{00000000-0005-0000-0000-00009D1F0000}"/>
    <cellStyle name="Input 2 3 3 8 2" xfId="19856" xr:uid="{00000000-0005-0000-0000-00009E1F0000}"/>
    <cellStyle name="Input 2 3 4" xfId="1404" xr:uid="{00000000-0005-0000-0000-00009F1F0000}"/>
    <cellStyle name="Input 2 3 4 2" xfId="1906" xr:uid="{00000000-0005-0000-0000-0000A01F0000}"/>
    <cellStyle name="Input 2 3 4 2 2" xfId="4135" xr:uid="{00000000-0005-0000-0000-0000A11F0000}"/>
    <cellStyle name="Input 2 3 4 2 2 2" xfId="8179" xr:uid="{00000000-0005-0000-0000-0000A21F0000}"/>
    <cellStyle name="Input 2 3 4 2 2 2 2" xfId="23910" xr:uid="{00000000-0005-0000-0000-0000A31F0000}"/>
    <cellStyle name="Input 2 3 4 2 2 3" xfId="14467" xr:uid="{00000000-0005-0000-0000-0000A41F0000}"/>
    <cellStyle name="Input 2 3 4 2 2 3 2" xfId="29299" xr:uid="{00000000-0005-0000-0000-0000A51F0000}"/>
    <cellStyle name="Input 2 3 4 2 2 4" xfId="21537" xr:uid="{00000000-0005-0000-0000-0000A61F0000}"/>
    <cellStyle name="Input 2 3 4 2 3" xfId="4884" xr:uid="{00000000-0005-0000-0000-0000A71F0000}"/>
    <cellStyle name="Input 2 3 4 2 3 2" xfId="8923" xr:uid="{00000000-0005-0000-0000-0000A81F0000}"/>
    <cellStyle name="Input 2 3 4 2 3 2 2" xfId="24389" xr:uid="{00000000-0005-0000-0000-0000A91F0000}"/>
    <cellStyle name="Input 2 3 4 2 3 3" xfId="15207" xr:uid="{00000000-0005-0000-0000-0000AA1F0000}"/>
    <cellStyle name="Input 2 3 4 2 3 3 2" xfId="30039" xr:uid="{00000000-0005-0000-0000-0000AB1F0000}"/>
    <cellStyle name="Input 2 3 4 2 3 4" xfId="21921" xr:uid="{00000000-0005-0000-0000-0000AC1F0000}"/>
    <cellStyle name="Input 2 3 4 2 4" xfId="2874" xr:uid="{00000000-0005-0000-0000-0000AD1F0000}"/>
    <cellStyle name="Input 2 3 4 2 4 2" xfId="6959" xr:uid="{00000000-0005-0000-0000-0000AE1F0000}"/>
    <cellStyle name="Input 2 3 4 2 4 2 2" xfId="23134" xr:uid="{00000000-0005-0000-0000-0000AF1F0000}"/>
    <cellStyle name="Input 2 3 4 2 4 3" xfId="13212" xr:uid="{00000000-0005-0000-0000-0000B01F0000}"/>
    <cellStyle name="Input 2 3 4 2 4 3 2" xfId="28044" xr:uid="{00000000-0005-0000-0000-0000B11F0000}"/>
    <cellStyle name="Input 2 3 4 2 4 4" xfId="20800" xr:uid="{00000000-0005-0000-0000-0000B21F0000}"/>
    <cellStyle name="Input 2 3 4 2 5" xfId="6037" xr:uid="{00000000-0005-0000-0000-0000B31F0000}"/>
    <cellStyle name="Input 2 3 4 2 5 2" xfId="16224" xr:uid="{00000000-0005-0000-0000-0000B41F0000}"/>
    <cellStyle name="Input 2 3 4 2 5 2 2" xfId="31056" xr:uid="{00000000-0005-0000-0000-0000B51F0000}"/>
    <cellStyle name="Input 2 3 4 2 5 3" xfId="22570" xr:uid="{00000000-0005-0000-0000-0000B61F0000}"/>
    <cellStyle name="Input 2 3 4 2 6" xfId="12294" xr:uid="{00000000-0005-0000-0000-0000B71F0000}"/>
    <cellStyle name="Input 2 3 4 2 6 2" xfId="27126" xr:uid="{00000000-0005-0000-0000-0000B81F0000}"/>
    <cellStyle name="Input 2 3 4 2 7" xfId="9890" xr:uid="{00000000-0005-0000-0000-0000B91F0000}"/>
    <cellStyle name="Input 2 3 4 2 7 2" xfId="20093" xr:uid="{00000000-0005-0000-0000-0000BA1F0000}"/>
    <cellStyle name="Input 2 3 4 3" xfId="3455" xr:uid="{00000000-0005-0000-0000-0000BB1F0000}"/>
    <cellStyle name="Input 2 3 4 3 2" xfId="7518" xr:uid="{00000000-0005-0000-0000-0000BC1F0000}"/>
    <cellStyle name="Input 2 3 4 3 2 2" xfId="23488" xr:uid="{00000000-0005-0000-0000-0000BD1F0000}"/>
    <cellStyle name="Input 2 3 4 3 3" xfId="13792" xr:uid="{00000000-0005-0000-0000-0000BE1F0000}"/>
    <cellStyle name="Input 2 3 4 3 3 2" xfId="28624" xr:uid="{00000000-0005-0000-0000-0000BF1F0000}"/>
    <cellStyle name="Input 2 3 4 3 4" xfId="21163" xr:uid="{00000000-0005-0000-0000-0000C01F0000}"/>
    <cellStyle name="Input 2 3 4 4" xfId="4464" xr:uid="{00000000-0005-0000-0000-0000C11F0000}"/>
    <cellStyle name="Input 2 3 4 4 2" xfId="8503" xr:uid="{00000000-0005-0000-0000-0000C21F0000}"/>
    <cellStyle name="Input 2 3 4 4 2 2" xfId="24129" xr:uid="{00000000-0005-0000-0000-0000C31F0000}"/>
    <cellStyle name="Input 2 3 4 4 3" xfId="14792" xr:uid="{00000000-0005-0000-0000-0000C41F0000}"/>
    <cellStyle name="Input 2 3 4 4 3 2" xfId="29624" xr:uid="{00000000-0005-0000-0000-0000C51F0000}"/>
    <cellStyle name="Input 2 3 4 4 4" xfId="21691" xr:uid="{00000000-0005-0000-0000-0000C61F0000}"/>
    <cellStyle name="Input 2 3 4 5" xfId="2454" xr:uid="{00000000-0005-0000-0000-0000C71F0000}"/>
    <cellStyle name="Input 2 3 4 5 2" xfId="6560" xr:uid="{00000000-0005-0000-0000-0000C81F0000}"/>
    <cellStyle name="Input 2 3 4 5 2 2" xfId="22898" xr:uid="{00000000-0005-0000-0000-0000C91F0000}"/>
    <cellStyle name="Input 2 3 4 5 3" xfId="12793" xr:uid="{00000000-0005-0000-0000-0000CA1F0000}"/>
    <cellStyle name="Input 2 3 4 5 3 2" xfId="27625" xr:uid="{00000000-0005-0000-0000-0000CB1F0000}"/>
    <cellStyle name="Input 2 3 4 5 4" xfId="20546" xr:uid="{00000000-0005-0000-0000-0000CC1F0000}"/>
    <cellStyle name="Input 2 3 4 6" xfId="5578" xr:uid="{00000000-0005-0000-0000-0000CD1F0000}"/>
    <cellStyle name="Input 2 3 4 6 2" xfId="15813" xr:uid="{00000000-0005-0000-0000-0000CE1F0000}"/>
    <cellStyle name="Input 2 3 4 6 2 2" xfId="30645" xr:uid="{00000000-0005-0000-0000-0000CF1F0000}"/>
    <cellStyle name="Input 2 3 4 6 3" xfId="22274" xr:uid="{00000000-0005-0000-0000-0000D01F0000}"/>
    <cellStyle name="Input 2 3 4 7" xfId="11823" xr:uid="{00000000-0005-0000-0000-0000D11F0000}"/>
    <cellStyle name="Input 2 3 4 7 2" xfId="26655" xr:uid="{00000000-0005-0000-0000-0000D21F0000}"/>
    <cellStyle name="Input 2 3 4 8" xfId="9495" xr:uid="{00000000-0005-0000-0000-0000D31F0000}"/>
    <cellStyle name="Input 2 3 4 8 2" xfId="19798" xr:uid="{00000000-0005-0000-0000-0000D41F0000}"/>
    <cellStyle name="Input 2 3 5" xfId="1467" xr:uid="{00000000-0005-0000-0000-0000D51F0000}"/>
    <cellStyle name="Input 2 3 5 2" xfId="1968" xr:uid="{00000000-0005-0000-0000-0000D61F0000}"/>
    <cellStyle name="Input 2 3 5 2 2" xfId="3661" xr:uid="{00000000-0005-0000-0000-0000D71F0000}"/>
    <cellStyle name="Input 2 3 5 2 2 2" xfId="7720" xr:uid="{00000000-0005-0000-0000-0000D81F0000}"/>
    <cellStyle name="Input 2 3 5 2 2 2 2" xfId="23616" xr:uid="{00000000-0005-0000-0000-0000D91F0000}"/>
    <cellStyle name="Input 2 3 5 2 2 3" xfId="13996" xr:uid="{00000000-0005-0000-0000-0000DA1F0000}"/>
    <cellStyle name="Input 2 3 5 2 2 3 2" xfId="28828" xr:uid="{00000000-0005-0000-0000-0000DB1F0000}"/>
    <cellStyle name="Input 2 3 5 2 2 4" xfId="21280" xr:uid="{00000000-0005-0000-0000-0000DC1F0000}"/>
    <cellStyle name="Input 2 3 5 2 3" xfId="4932" xr:uid="{00000000-0005-0000-0000-0000DD1F0000}"/>
    <cellStyle name="Input 2 3 5 2 3 2" xfId="8971" xr:uid="{00000000-0005-0000-0000-0000DE1F0000}"/>
    <cellStyle name="Input 2 3 5 2 3 2 2" xfId="24437" xr:uid="{00000000-0005-0000-0000-0000DF1F0000}"/>
    <cellStyle name="Input 2 3 5 2 3 3" xfId="15254" xr:uid="{00000000-0005-0000-0000-0000E01F0000}"/>
    <cellStyle name="Input 2 3 5 2 3 3 2" xfId="30086" xr:uid="{00000000-0005-0000-0000-0000E11F0000}"/>
    <cellStyle name="Input 2 3 5 2 3 4" xfId="21967" xr:uid="{00000000-0005-0000-0000-0000E21F0000}"/>
    <cellStyle name="Input 2 3 5 2 4" xfId="2922" xr:uid="{00000000-0005-0000-0000-0000E31F0000}"/>
    <cellStyle name="Input 2 3 5 2 4 2" xfId="7006" xr:uid="{00000000-0005-0000-0000-0000E41F0000}"/>
    <cellStyle name="Input 2 3 5 2 4 2 2" xfId="23180" xr:uid="{00000000-0005-0000-0000-0000E51F0000}"/>
    <cellStyle name="Input 2 3 5 2 4 3" xfId="13260" xr:uid="{00000000-0005-0000-0000-0000E61F0000}"/>
    <cellStyle name="Input 2 3 5 2 4 3 2" xfId="28092" xr:uid="{00000000-0005-0000-0000-0000E71F0000}"/>
    <cellStyle name="Input 2 3 5 2 4 4" xfId="20848" xr:uid="{00000000-0005-0000-0000-0000E81F0000}"/>
    <cellStyle name="Input 2 3 5 2 5" xfId="6098" xr:uid="{00000000-0005-0000-0000-0000E91F0000}"/>
    <cellStyle name="Input 2 3 5 2 5 2" xfId="16285" xr:uid="{00000000-0005-0000-0000-0000EA1F0000}"/>
    <cellStyle name="Input 2 3 5 2 5 2 2" xfId="31117" xr:uid="{00000000-0005-0000-0000-0000EB1F0000}"/>
    <cellStyle name="Input 2 3 5 2 5 3" xfId="22631" xr:uid="{00000000-0005-0000-0000-0000EC1F0000}"/>
    <cellStyle name="Input 2 3 5 2 6" xfId="12355" xr:uid="{00000000-0005-0000-0000-0000ED1F0000}"/>
    <cellStyle name="Input 2 3 5 2 6 2" xfId="27187" xr:uid="{00000000-0005-0000-0000-0000EE1F0000}"/>
    <cellStyle name="Input 2 3 5 2 7" xfId="9937" xr:uid="{00000000-0005-0000-0000-0000EF1F0000}"/>
    <cellStyle name="Input 2 3 5 2 7 2" xfId="20139" xr:uid="{00000000-0005-0000-0000-0000F01F0000}"/>
    <cellStyle name="Input 2 3 5 3" xfId="4335" xr:uid="{00000000-0005-0000-0000-0000F11F0000}"/>
    <cellStyle name="Input 2 3 5 3 2" xfId="8374" xr:uid="{00000000-0005-0000-0000-0000F21F0000}"/>
    <cellStyle name="Input 2 3 5 3 2 2" xfId="24035" xr:uid="{00000000-0005-0000-0000-0000F31F0000}"/>
    <cellStyle name="Input 2 3 5 3 3" xfId="14666" xr:uid="{00000000-0005-0000-0000-0000F41F0000}"/>
    <cellStyle name="Input 2 3 5 3 3 2" xfId="29498" xr:uid="{00000000-0005-0000-0000-0000F51F0000}"/>
    <cellStyle name="Input 2 3 5 3 4" xfId="21631" xr:uid="{00000000-0005-0000-0000-0000F61F0000}"/>
    <cellStyle name="Input 2 3 5 4" xfId="4512" xr:uid="{00000000-0005-0000-0000-0000F71F0000}"/>
    <cellStyle name="Input 2 3 5 4 2" xfId="8551" xr:uid="{00000000-0005-0000-0000-0000F81F0000}"/>
    <cellStyle name="Input 2 3 5 4 2 2" xfId="24177" xr:uid="{00000000-0005-0000-0000-0000F91F0000}"/>
    <cellStyle name="Input 2 3 5 4 3" xfId="14839" xr:uid="{00000000-0005-0000-0000-0000FA1F0000}"/>
    <cellStyle name="Input 2 3 5 4 3 2" xfId="29671" xr:uid="{00000000-0005-0000-0000-0000FB1F0000}"/>
    <cellStyle name="Input 2 3 5 4 4" xfId="21737" xr:uid="{00000000-0005-0000-0000-0000FC1F0000}"/>
    <cellStyle name="Input 2 3 5 5" xfId="2502" xr:uid="{00000000-0005-0000-0000-0000FD1F0000}"/>
    <cellStyle name="Input 2 3 5 5 2" xfId="6608" xr:uid="{00000000-0005-0000-0000-0000FE1F0000}"/>
    <cellStyle name="Input 2 3 5 5 2 2" xfId="22946" xr:uid="{00000000-0005-0000-0000-0000FF1F0000}"/>
    <cellStyle name="Input 2 3 5 5 3" xfId="12840" xr:uid="{00000000-0005-0000-0000-000000200000}"/>
    <cellStyle name="Input 2 3 5 5 3 2" xfId="27672" xr:uid="{00000000-0005-0000-0000-000001200000}"/>
    <cellStyle name="Input 2 3 5 5 4" xfId="20592" xr:uid="{00000000-0005-0000-0000-000002200000}"/>
    <cellStyle name="Input 2 3 5 6" xfId="5625" xr:uid="{00000000-0005-0000-0000-000003200000}"/>
    <cellStyle name="Input 2 3 5 6 2" xfId="15860" xr:uid="{00000000-0005-0000-0000-000004200000}"/>
    <cellStyle name="Input 2 3 5 6 2 2" xfId="30692" xr:uid="{00000000-0005-0000-0000-000005200000}"/>
    <cellStyle name="Input 2 3 5 6 3" xfId="22321" xr:uid="{00000000-0005-0000-0000-000006200000}"/>
    <cellStyle name="Input 2 3 5 7" xfId="11884" xr:uid="{00000000-0005-0000-0000-000007200000}"/>
    <cellStyle name="Input 2 3 5 7 2" xfId="26716" xr:uid="{00000000-0005-0000-0000-000008200000}"/>
    <cellStyle name="Input 2 3 5 8" xfId="9542" xr:uid="{00000000-0005-0000-0000-000009200000}"/>
    <cellStyle name="Input 2 3 5 8 2" xfId="19844" xr:uid="{00000000-0005-0000-0000-00000A200000}"/>
    <cellStyle name="Input 2 3 6" xfId="1747" xr:uid="{00000000-0005-0000-0000-00000B200000}"/>
    <cellStyle name="Input 2 3 6 2" xfId="4095" xr:uid="{00000000-0005-0000-0000-00000C200000}"/>
    <cellStyle name="Input 2 3 6 2 2" xfId="8141" xr:uid="{00000000-0005-0000-0000-00000D200000}"/>
    <cellStyle name="Input 2 3 6 2 2 2" xfId="23887" xr:uid="{00000000-0005-0000-0000-00000E200000}"/>
    <cellStyle name="Input 2 3 6 2 3" xfId="14427" xr:uid="{00000000-0005-0000-0000-00000F200000}"/>
    <cellStyle name="Input 2 3 6 2 3 2" xfId="29259" xr:uid="{00000000-0005-0000-0000-000010200000}"/>
    <cellStyle name="Input 2 3 6 2 4" xfId="21517" xr:uid="{00000000-0005-0000-0000-000011200000}"/>
    <cellStyle name="Input 2 3 6 3" xfId="4725" xr:uid="{00000000-0005-0000-0000-000012200000}"/>
    <cellStyle name="Input 2 3 6 3 2" xfId="8764" xr:uid="{00000000-0005-0000-0000-000013200000}"/>
    <cellStyle name="Input 2 3 6 3 2 2" xfId="24294" xr:uid="{00000000-0005-0000-0000-000014200000}"/>
    <cellStyle name="Input 2 3 6 3 3" xfId="15049" xr:uid="{00000000-0005-0000-0000-000015200000}"/>
    <cellStyle name="Input 2 3 6 3 3 2" xfId="29881" xr:uid="{00000000-0005-0000-0000-000016200000}"/>
    <cellStyle name="Input 2 3 6 3 4" xfId="21832" xr:uid="{00000000-0005-0000-0000-000017200000}"/>
    <cellStyle name="Input 2 3 6 4" xfId="2715" xr:uid="{00000000-0005-0000-0000-000018200000}"/>
    <cellStyle name="Input 2 3 6 4 2" xfId="6806" xr:uid="{00000000-0005-0000-0000-000019200000}"/>
    <cellStyle name="Input 2 3 6 4 2 2" xfId="23045" xr:uid="{00000000-0005-0000-0000-00001A200000}"/>
    <cellStyle name="Input 2 3 6 4 3" xfId="13053" xr:uid="{00000000-0005-0000-0000-00001B200000}"/>
    <cellStyle name="Input 2 3 6 4 3 2" xfId="27885" xr:uid="{00000000-0005-0000-0000-00001C200000}"/>
    <cellStyle name="Input 2 3 6 4 4" xfId="20705" xr:uid="{00000000-0005-0000-0000-00001D200000}"/>
    <cellStyle name="Input 2 3 6 5" xfId="5879" xr:uid="{00000000-0005-0000-0000-00001E200000}"/>
    <cellStyle name="Input 2 3 6 5 2" xfId="16071" xr:uid="{00000000-0005-0000-0000-00001F200000}"/>
    <cellStyle name="Input 2 3 6 5 2 2" xfId="30903" xr:uid="{00000000-0005-0000-0000-000020200000}"/>
    <cellStyle name="Input 2 3 6 5 3" xfId="22476" xr:uid="{00000000-0005-0000-0000-000021200000}"/>
    <cellStyle name="Input 2 3 6 6" xfId="12141" xr:uid="{00000000-0005-0000-0000-000022200000}"/>
    <cellStyle name="Input 2 3 6 6 2" xfId="26973" xr:uid="{00000000-0005-0000-0000-000023200000}"/>
    <cellStyle name="Input 2 3 6 7" xfId="9737" xr:uid="{00000000-0005-0000-0000-000024200000}"/>
    <cellStyle name="Input 2 3 6 7 2" xfId="20035" xr:uid="{00000000-0005-0000-0000-000025200000}"/>
    <cellStyle name="Input 2 3 7" xfId="2219" xr:uid="{00000000-0005-0000-0000-000026200000}"/>
    <cellStyle name="Input 2 3 7 2" xfId="3659" xr:uid="{00000000-0005-0000-0000-000027200000}"/>
    <cellStyle name="Input 2 3 7 2 2" xfId="7718" xr:uid="{00000000-0005-0000-0000-000028200000}"/>
    <cellStyle name="Input 2 3 7 2 2 2" xfId="23614" xr:uid="{00000000-0005-0000-0000-000029200000}"/>
    <cellStyle name="Input 2 3 7 2 3" xfId="13994" xr:uid="{00000000-0005-0000-0000-00002A200000}"/>
    <cellStyle name="Input 2 3 7 2 3 2" xfId="28826" xr:uid="{00000000-0005-0000-0000-00002B200000}"/>
    <cellStyle name="Input 2 3 7 2 4" xfId="21278" xr:uid="{00000000-0005-0000-0000-00002C200000}"/>
    <cellStyle name="Input 2 3 7 3" xfId="5187" xr:uid="{00000000-0005-0000-0000-00002D200000}"/>
    <cellStyle name="Input 2 3 7 3 2" xfId="9226" xr:uid="{00000000-0005-0000-0000-00002E200000}"/>
    <cellStyle name="Input 2 3 7 3 2 2" xfId="24564" xr:uid="{00000000-0005-0000-0000-00002F200000}"/>
    <cellStyle name="Input 2 3 7 3 3" xfId="15505" xr:uid="{00000000-0005-0000-0000-000030200000}"/>
    <cellStyle name="Input 2 3 7 3 3 2" xfId="30337" xr:uid="{00000000-0005-0000-0000-000031200000}"/>
    <cellStyle name="Input 2 3 7 3 4" xfId="22071" xr:uid="{00000000-0005-0000-0000-000032200000}"/>
    <cellStyle name="Input 2 3 7 4" xfId="4217" xr:uid="{00000000-0005-0000-0000-000033200000}"/>
    <cellStyle name="Input 2 3 7 4 2" xfId="8258" xr:uid="{00000000-0005-0000-0000-000034200000}"/>
    <cellStyle name="Input 2 3 7 4 2 2" xfId="23953" xr:uid="{00000000-0005-0000-0000-000035200000}"/>
    <cellStyle name="Input 2 3 7 4 3" xfId="14549" xr:uid="{00000000-0005-0000-0000-000036200000}"/>
    <cellStyle name="Input 2 3 7 4 3 2" xfId="29381" xr:uid="{00000000-0005-0000-0000-000037200000}"/>
    <cellStyle name="Input 2 3 7 4 4" xfId="21578" xr:uid="{00000000-0005-0000-0000-000038200000}"/>
    <cellStyle name="Input 2 3 7 5" xfId="6333" xr:uid="{00000000-0005-0000-0000-000039200000}"/>
    <cellStyle name="Input 2 3 7 5 2" xfId="22735" xr:uid="{00000000-0005-0000-0000-00003A200000}"/>
    <cellStyle name="Input 2 3 7 6" xfId="12587" xr:uid="{00000000-0005-0000-0000-00003B200000}"/>
    <cellStyle name="Input 2 3 7 6 2" xfId="27419" xr:uid="{00000000-0005-0000-0000-00003C200000}"/>
    <cellStyle name="Input 2 3 7 7" xfId="20414" xr:uid="{00000000-0005-0000-0000-00003D200000}"/>
    <cellStyle name="Input 2 3 8" xfId="4334" xr:uid="{00000000-0005-0000-0000-00003E200000}"/>
    <cellStyle name="Input 2 3 8 2" xfId="8373" xr:uid="{00000000-0005-0000-0000-00003F200000}"/>
    <cellStyle name="Input 2 3 8 2 2" xfId="24034" xr:uid="{00000000-0005-0000-0000-000040200000}"/>
    <cellStyle name="Input 2 3 8 3" xfId="14665" xr:uid="{00000000-0005-0000-0000-000041200000}"/>
    <cellStyle name="Input 2 3 8 3 2" xfId="29497" xr:uid="{00000000-0005-0000-0000-000042200000}"/>
    <cellStyle name="Input 2 3 8 4" xfId="21630" xr:uid="{00000000-0005-0000-0000-000043200000}"/>
    <cellStyle name="Input 2 3 9" xfId="3146" xr:uid="{00000000-0005-0000-0000-000044200000}"/>
    <cellStyle name="Input 2 3 9 2" xfId="7210" xr:uid="{00000000-0005-0000-0000-000045200000}"/>
    <cellStyle name="Input 2 3 9 2 2" xfId="23279" xr:uid="{00000000-0005-0000-0000-000046200000}"/>
    <cellStyle name="Input 2 3 9 3" xfId="13484" xr:uid="{00000000-0005-0000-0000-000047200000}"/>
    <cellStyle name="Input 2 3 9 3 2" xfId="28316" xr:uid="{00000000-0005-0000-0000-000048200000}"/>
    <cellStyle name="Input 2 3 9 4" xfId="20970" xr:uid="{00000000-0005-0000-0000-000049200000}"/>
    <cellStyle name="Input 2 4" xfId="1115" xr:uid="{00000000-0005-0000-0000-00004A200000}"/>
    <cellStyle name="Input 2 4 10" xfId="2286" xr:uid="{00000000-0005-0000-0000-00004B200000}"/>
    <cellStyle name="Input 2 4 10 2" xfId="6398" xr:uid="{00000000-0005-0000-0000-00004C200000}"/>
    <cellStyle name="Input 2 4 10 2 2" xfId="22800" xr:uid="{00000000-0005-0000-0000-00004D200000}"/>
    <cellStyle name="Input 2 4 10 3" xfId="12626" xr:uid="{00000000-0005-0000-0000-00004E200000}"/>
    <cellStyle name="Input 2 4 10 3 2" xfId="27458" xr:uid="{00000000-0005-0000-0000-00004F200000}"/>
    <cellStyle name="Input 2 4 10 4" xfId="20452" xr:uid="{00000000-0005-0000-0000-000050200000}"/>
    <cellStyle name="Input 2 4 11" xfId="5252" xr:uid="{00000000-0005-0000-0000-000051200000}"/>
    <cellStyle name="Input 2 4 11 2" xfId="15568" xr:uid="{00000000-0005-0000-0000-000052200000}"/>
    <cellStyle name="Input 2 4 11 2 2" xfId="30400" xr:uid="{00000000-0005-0000-0000-000053200000}"/>
    <cellStyle name="Input 2 4 11 3" xfId="22109" xr:uid="{00000000-0005-0000-0000-000054200000}"/>
    <cellStyle name="Input 2 4 12" xfId="5410" xr:uid="{00000000-0005-0000-0000-000055200000}"/>
    <cellStyle name="Input 2 4 12 2" xfId="15646" xr:uid="{00000000-0005-0000-0000-000056200000}"/>
    <cellStyle name="Input 2 4 12 2 2" xfId="30478" xr:uid="{00000000-0005-0000-0000-000057200000}"/>
    <cellStyle name="Input 2 4 12 3" xfId="22171" xr:uid="{00000000-0005-0000-0000-000058200000}"/>
    <cellStyle name="Input 2 4 13" xfId="9381" xr:uid="{00000000-0005-0000-0000-000059200000}"/>
    <cellStyle name="Input 2 4 13 2" xfId="24687" xr:uid="{00000000-0005-0000-0000-00005A200000}"/>
    <cellStyle name="Input 2 4 14" xfId="5370" xr:uid="{00000000-0005-0000-0000-00005B200000}"/>
    <cellStyle name="Input 2 4 14 2" xfId="18244" xr:uid="{00000000-0005-0000-0000-00005C200000}"/>
    <cellStyle name="Input 2 4 2" xfId="1322" xr:uid="{00000000-0005-0000-0000-00005D200000}"/>
    <cellStyle name="Input 2 4 2 2" xfId="1826" xr:uid="{00000000-0005-0000-0000-00005E200000}"/>
    <cellStyle name="Input 2 4 2 2 2" xfId="3756" xr:uid="{00000000-0005-0000-0000-00005F200000}"/>
    <cellStyle name="Input 2 4 2 2 2 2" xfId="7812" xr:uid="{00000000-0005-0000-0000-000060200000}"/>
    <cellStyle name="Input 2 4 2 2 2 2 2" xfId="23680" xr:uid="{00000000-0005-0000-0000-000061200000}"/>
    <cellStyle name="Input 2 4 2 2 2 3" xfId="14091" xr:uid="{00000000-0005-0000-0000-000062200000}"/>
    <cellStyle name="Input 2 4 2 2 2 3 2" xfId="28923" xr:uid="{00000000-0005-0000-0000-000063200000}"/>
    <cellStyle name="Input 2 4 2 2 2 4" xfId="21336" xr:uid="{00000000-0005-0000-0000-000064200000}"/>
    <cellStyle name="Input 2 4 2 2 3" xfId="4804" xr:uid="{00000000-0005-0000-0000-000065200000}"/>
    <cellStyle name="Input 2 4 2 2 3 2" xfId="8843" xr:uid="{00000000-0005-0000-0000-000066200000}"/>
    <cellStyle name="Input 2 4 2 2 3 2 2" xfId="24341" xr:uid="{00000000-0005-0000-0000-000067200000}"/>
    <cellStyle name="Input 2 4 2 2 3 3" xfId="15128" xr:uid="{00000000-0005-0000-0000-000068200000}"/>
    <cellStyle name="Input 2 4 2 2 3 3 2" xfId="29960" xr:uid="{00000000-0005-0000-0000-000069200000}"/>
    <cellStyle name="Input 2 4 2 2 3 4" xfId="21879" xr:uid="{00000000-0005-0000-0000-00006A200000}"/>
    <cellStyle name="Input 2 4 2 2 4" xfId="2794" xr:uid="{00000000-0005-0000-0000-00006B200000}"/>
    <cellStyle name="Input 2 4 2 2 4 2" xfId="6885" xr:uid="{00000000-0005-0000-0000-00006C200000}"/>
    <cellStyle name="Input 2 4 2 2 4 2 2" xfId="23092" xr:uid="{00000000-0005-0000-0000-00006D200000}"/>
    <cellStyle name="Input 2 4 2 2 4 3" xfId="13132" xr:uid="{00000000-0005-0000-0000-00006E200000}"/>
    <cellStyle name="Input 2 4 2 2 4 3 2" xfId="27964" xr:uid="{00000000-0005-0000-0000-00006F200000}"/>
    <cellStyle name="Input 2 4 2 2 4 4" xfId="20752" xr:uid="{00000000-0005-0000-0000-000070200000}"/>
    <cellStyle name="Input 2 4 2 2 5" xfId="5958" xr:uid="{00000000-0005-0000-0000-000071200000}"/>
    <cellStyle name="Input 2 4 2 2 5 2" xfId="16150" xr:uid="{00000000-0005-0000-0000-000072200000}"/>
    <cellStyle name="Input 2 4 2 2 5 2 2" xfId="30982" xr:uid="{00000000-0005-0000-0000-000073200000}"/>
    <cellStyle name="Input 2 4 2 2 5 3" xfId="22523" xr:uid="{00000000-0005-0000-0000-000074200000}"/>
    <cellStyle name="Input 2 4 2 2 6" xfId="12220" xr:uid="{00000000-0005-0000-0000-000075200000}"/>
    <cellStyle name="Input 2 4 2 2 6 2" xfId="27052" xr:uid="{00000000-0005-0000-0000-000076200000}"/>
    <cellStyle name="Input 2 4 2 2 7" xfId="9816" xr:uid="{00000000-0005-0000-0000-000077200000}"/>
    <cellStyle name="Input 2 4 2 2 7 2" xfId="20067" xr:uid="{00000000-0005-0000-0000-000078200000}"/>
    <cellStyle name="Input 2 4 2 3" xfId="3747" xr:uid="{00000000-0005-0000-0000-000079200000}"/>
    <cellStyle name="Input 2 4 2 3 2" xfId="7803" xr:uid="{00000000-0005-0000-0000-00007A200000}"/>
    <cellStyle name="Input 2 4 2 3 2 2" xfId="23674" xr:uid="{00000000-0005-0000-0000-00007B200000}"/>
    <cellStyle name="Input 2 4 2 3 3" xfId="14082" xr:uid="{00000000-0005-0000-0000-00007C200000}"/>
    <cellStyle name="Input 2 4 2 3 3 2" xfId="28914" xr:uid="{00000000-0005-0000-0000-00007D200000}"/>
    <cellStyle name="Input 2 4 2 3 4" xfId="21330" xr:uid="{00000000-0005-0000-0000-00007E200000}"/>
    <cellStyle name="Input 2 4 2 4" xfId="4384" xr:uid="{00000000-0005-0000-0000-00007F200000}"/>
    <cellStyle name="Input 2 4 2 4 2" xfId="8423" xr:uid="{00000000-0005-0000-0000-000080200000}"/>
    <cellStyle name="Input 2 4 2 4 2 2" xfId="24081" xr:uid="{00000000-0005-0000-0000-000081200000}"/>
    <cellStyle name="Input 2 4 2 4 3" xfId="14713" xr:uid="{00000000-0005-0000-0000-000082200000}"/>
    <cellStyle name="Input 2 4 2 4 3 2" xfId="29545" xr:uid="{00000000-0005-0000-0000-000083200000}"/>
    <cellStyle name="Input 2 4 2 4 4" xfId="21649" xr:uid="{00000000-0005-0000-0000-000084200000}"/>
    <cellStyle name="Input 2 4 2 5" xfId="2374" xr:uid="{00000000-0005-0000-0000-000085200000}"/>
    <cellStyle name="Input 2 4 2 5 2" xfId="6486" xr:uid="{00000000-0005-0000-0000-000086200000}"/>
    <cellStyle name="Input 2 4 2 5 2 2" xfId="22856" xr:uid="{00000000-0005-0000-0000-000087200000}"/>
    <cellStyle name="Input 2 4 2 5 3" xfId="12713" xr:uid="{00000000-0005-0000-0000-000088200000}"/>
    <cellStyle name="Input 2 4 2 5 3 2" xfId="27545" xr:uid="{00000000-0005-0000-0000-000089200000}"/>
    <cellStyle name="Input 2 4 2 5 4" xfId="20498" xr:uid="{00000000-0005-0000-0000-00008A200000}"/>
    <cellStyle name="Input 2 4 2 6" xfId="5499" xr:uid="{00000000-0005-0000-0000-00008B200000}"/>
    <cellStyle name="Input 2 4 2 6 2" xfId="15734" xr:uid="{00000000-0005-0000-0000-00008C200000}"/>
    <cellStyle name="Input 2 4 2 6 2 2" xfId="30566" xr:uid="{00000000-0005-0000-0000-00008D200000}"/>
    <cellStyle name="Input 2 4 2 6 3" xfId="22227" xr:uid="{00000000-0005-0000-0000-00008E200000}"/>
    <cellStyle name="Input 2 4 2 7" xfId="11749" xr:uid="{00000000-0005-0000-0000-00008F200000}"/>
    <cellStyle name="Input 2 4 2 7 2" xfId="26581" xr:uid="{00000000-0005-0000-0000-000090200000}"/>
    <cellStyle name="Input 2 4 2 8" xfId="9420" xr:uid="{00000000-0005-0000-0000-000091200000}"/>
    <cellStyle name="Input 2 4 2 8 2" xfId="19724" xr:uid="{00000000-0005-0000-0000-000092200000}"/>
    <cellStyle name="Input 2 4 3" xfId="1480" xr:uid="{00000000-0005-0000-0000-000093200000}"/>
    <cellStyle name="Input 2 4 3 2" xfId="1981" xr:uid="{00000000-0005-0000-0000-000094200000}"/>
    <cellStyle name="Input 2 4 3 2 2" xfId="3437" xr:uid="{00000000-0005-0000-0000-000095200000}"/>
    <cellStyle name="Input 2 4 3 2 2 2" xfId="7500" xr:uid="{00000000-0005-0000-0000-000096200000}"/>
    <cellStyle name="Input 2 4 3 2 2 2 2" xfId="23476" xr:uid="{00000000-0005-0000-0000-000097200000}"/>
    <cellStyle name="Input 2 4 3 2 2 3" xfId="13774" xr:uid="{00000000-0005-0000-0000-000098200000}"/>
    <cellStyle name="Input 2 4 3 2 2 3 2" xfId="28606" xr:uid="{00000000-0005-0000-0000-000099200000}"/>
    <cellStyle name="Input 2 4 3 2 2 4" xfId="21152" xr:uid="{00000000-0005-0000-0000-00009A200000}"/>
    <cellStyle name="Input 2 4 3 2 3" xfId="4945" xr:uid="{00000000-0005-0000-0000-00009B200000}"/>
    <cellStyle name="Input 2 4 3 2 3 2" xfId="8984" xr:uid="{00000000-0005-0000-0000-00009C200000}"/>
    <cellStyle name="Input 2 4 3 2 3 2 2" xfId="24450" xr:uid="{00000000-0005-0000-0000-00009D200000}"/>
    <cellStyle name="Input 2 4 3 2 3 3" xfId="15267" xr:uid="{00000000-0005-0000-0000-00009E200000}"/>
    <cellStyle name="Input 2 4 3 2 3 3 2" xfId="30099" xr:uid="{00000000-0005-0000-0000-00009F200000}"/>
    <cellStyle name="Input 2 4 3 2 3 4" xfId="21980" xr:uid="{00000000-0005-0000-0000-0000A0200000}"/>
    <cellStyle name="Input 2 4 3 2 4" xfId="2935" xr:uid="{00000000-0005-0000-0000-0000A1200000}"/>
    <cellStyle name="Input 2 4 3 2 4 2" xfId="7019" xr:uid="{00000000-0005-0000-0000-0000A2200000}"/>
    <cellStyle name="Input 2 4 3 2 4 2 2" xfId="23193" xr:uid="{00000000-0005-0000-0000-0000A3200000}"/>
    <cellStyle name="Input 2 4 3 2 4 3" xfId="13273" xr:uid="{00000000-0005-0000-0000-0000A4200000}"/>
    <cellStyle name="Input 2 4 3 2 4 3 2" xfId="28105" xr:uid="{00000000-0005-0000-0000-0000A5200000}"/>
    <cellStyle name="Input 2 4 3 2 4 4" xfId="20861" xr:uid="{00000000-0005-0000-0000-0000A6200000}"/>
    <cellStyle name="Input 2 4 3 2 5" xfId="6111" xr:uid="{00000000-0005-0000-0000-0000A7200000}"/>
    <cellStyle name="Input 2 4 3 2 5 2" xfId="16298" xr:uid="{00000000-0005-0000-0000-0000A8200000}"/>
    <cellStyle name="Input 2 4 3 2 5 2 2" xfId="31130" xr:uid="{00000000-0005-0000-0000-0000A9200000}"/>
    <cellStyle name="Input 2 4 3 2 5 3" xfId="22644" xr:uid="{00000000-0005-0000-0000-0000AA200000}"/>
    <cellStyle name="Input 2 4 3 2 6" xfId="12368" xr:uid="{00000000-0005-0000-0000-0000AB200000}"/>
    <cellStyle name="Input 2 4 3 2 6 2" xfId="27200" xr:uid="{00000000-0005-0000-0000-0000AC200000}"/>
    <cellStyle name="Input 2 4 3 2 7" xfId="9950" xr:uid="{00000000-0005-0000-0000-0000AD200000}"/>
    <cellStyle name="Input 2 4 3 2 7 2" xfId="20152" xr:uid="{00000000-0005-0000-0000-0000AE200000}"/>
    <cellStyle name="Input 2 4 3 3" xfId="3358" xr:uid="{00000000-0005-0000-0000-0000AF200000}"/>
    <cellStyle name="Input 2 4 3 3 2" xfId="7421" xr:uid="{00000000-0005-0000-0000-0000B0200000}"/>
    <cellStyle name="Input 2 4 3 3 2 2" xfId="23422" xr:uid="{00000000-0005-0000-0000-0000B1200000}"/>
    <cellStyle name="Input 2 4 3 3 3" xfId="13695" xr:uid="{00000000-0005-0000-0000-0000B2200000}"/>
    <cellStyle name="Input 2 4 3 3 3 2" xfId="28527" xr:uid="{00000000-0005-0000-0000-0000B3200000}"/>
    <cellStyle name="Input 2 4 3 3 4" xfId="21107" xr:uid="{00000000-0005-0000-0000-0000B4200000}"/>
    <cellStyle name="Input 2 4 3 4" xfId="4525" xr:uid="{00000000-0005-0000-0000-0000B5200000}"/>
    <cellStyle name="Input 2 4 3 4 2" xfId="8564" xr:uid="{00000000-0005-0000-0000-0000B6200000}"/>
    <cellStyle name="Input 2 4 3 4 2 2" xfId="24190" xr:uid="{00000000-0005-0000-0000-0000B7200000}"/>
    <cellStyle name="Input 2 4 3 4 3" xfId="14852" xr:uid="{00000000-0005-0000-0000-0000B8200000}"/>
    <cellStyle name="Input 2 4 3 4 3 2" xfId="29684" xr:uid="{00000000-0005-0000-0000-0000B9200000}"/>
    <cellStyle name="Input 2 4 3 4 4" xfId="21750" xr:uid="{00000000-0005-0000-0000-0000BA200000}"/>
    <cellStyle name="Input 2 4 3 5" xfId="2515" xr:uid="{00000000-0005-0000-0000-0000BB200000}"/>
    <cellStyle name="Input 2 4 3 5 2" xfId="6621" xr:uid="{00000000-0005-0000-0000-0000BC200000}"/>
    <cellStyle name="Input 2 4 3 5 2 2" xfId="22959" xr:uid="{00000000-0005-0000-0000-0000BD200000}"/>
    <cellStyle name="Input 2 4 3 5 3" xfId="12853" xr:uid="{00000000-0005-0000-0000-0000BE200000}"/>
    <cellStyle name="Input 2 4 3 5 3 2" xfId="27685" xr:uid="{00000000-0005-0000-0000-0000BF200000}"/>
    <cellStyle name="Input 2 4 3 5 4" xfId="20605" xr:uid="{00000000-0005-0000-0000-0000C0200000}"/>
    <cellStyle name="Input 2 4 3 6" xfId="5638" xr:uid="{00000000-0005-0000-0000-0000C1200000}"/>
    <cellStyle name="Input 2 4 3 6 2" xfId="15873" xr:uid="{00000000-0005-0000-0000-0000C2200000}"/>
    <cellStyle name="Input 2 4 3 6 2 2" xfId="30705" xr:uid="{00000000-0005-0000-0000-0000C3200000}"/>
    <cellStyle name="Input 2 4 3 6 3" xfId="22334" xr:uid="{00000000-0005-0000-0000-0000C4200000}"/>
    <cellStyle name="Input 2 4 3 7" xfId="11897" xr:uid="{00000000-0005-0000-0000-0000C5200000}"/>
    <cellStyle name="Input 2 4 3 7 2" xfId="26729" xr:uid="{00000000-0005-0000-0000-0000C6200000}"/>
    <cellStyle name="Input 2 4 3 8" xfId="9555" xr:uid="{00000000-0005-0000-0000-0000C7200000}"/>
    <cellStyle name="Input 2 4 3 8 2" xfId="19857" xr:uid="{00000000-0005-0000-0000-0000C8200000}"/>
    <cellStyle name="Input 2 4 4" xfId="1398" xr:uid="{00000000-0005-0000-0000-0000C9200000}"/>
    <cellStyle name="Input 2 4 4 2" xfId="1900" xr:uid="{00000000-0005-0000-0000-0000CA200000}"/>
    <cellStyle name="Input 2 4 4 2 2" xfId="3889" xr:uid="{00000000-0005-0000-0000-0000CB200000}"/>
    <cellStyle name="Input 2 4 4 2 2 2" xfId="7940" xr:uid="{00000000-0005-0000-0000-0000CC200000}"/>
    <cellStyle name="Input 2 4 4 2 2 2 2" xfId="23762" xr:uid="{00000000-0005-0000-0000-0000CD200000}"/>
    <cellStyle name="Input 2 4 4 2 2 3" xfId="14223" xr:uid="{00000000-0005-0000-0000-0000CE200000}"/>
    <cellStyle name="Input 2 4 4 2 2 3 2" xfId="29055" xr:uid="{00000000-0005-0000-0000-0000CF200000}"/>
    <cellStyle name="Input 2 4 4 2 2 4" xfId="21404" xr:uid="{00000000-0005-0000-0000-0000D0200000}"/>
    <cellStyle name="Input 2 4 4 2 3" xfId="4878" xr:uid="{00000000-0005-0000-0000-0000D1200000}"/>
    <cellStyle name="Input 2 4 4 2 3 2" xfId="8917" xr:uid="{00000000-0005-0000-0000-0000D2200000}"/>
    <cellStyle name="Input 2 4 4 2 3 2 2" xfId="24383" xr:uid="{00000000-0005-0000-0000-0000D3200000}"/>
    <cellStyle name="Input 2 4 4 2 3 3" xfId="15201" xr:uid="{00000000-0005-0000-0000-0000D4200000}"/>
    <cellStyle name="Input 2 4 4 2 3 3 2" xfId="30033" xr:uid="{00000000-0005-0000-0000-0000D5200000}"/>
    <cellStyle name="Input 2 4 4 2 3 4" xfId="21915" xr:uid="{00000000-0005-0000-0000-0000D6200000}"/>
    <cellStyle name="Input 2 4 4 2 4" xfId="2868" xr:uid="{00000000-0005-0000-0000-0000D7200000}"/>
    <cellStyle name="Input 2 4 4 2 4 2" xfId="6953" xr:uid="{00000000-0005-0000-0000-0000D8200000}"/>
    <cellStyle name="Input 2 4 4 2 4 2 2" xfId="23128" xr:uid="{00000000-0005-0000-0000-0000D9200000}"/>
    <cellStyle name="Input 2 4 4 2 4 3" xfId="13206" xr:uid="{00000000-0005-0000-0000-0000DA200000}"/>
    <cellStyle name="Input 2 4 4 2 4 3 2" xfId="28038" xr:uid="{00000000-0005-0000-0000-0000DB200000}"/>
    <cellStyle name="Input 2 4 4 2 4 4" xfId="20794" xr:uid="{00000000-0005-0000-0000-0000DC200000}"/>
    <cellStyle name="Input 2 4 4 2 5" xfId="6031" xr:uid="{00000000-0005-0000-0000-0000DD200000}"/>
    <cellStyle name="Input 2 4 4 2 5 2" xfId="16218" xr:uid="{00000000-0005-0000-0000-0000DE200000}"/>
    <cellStyle name="Input 2 4 4 2 5 2 2" xfId="31050" xr:uid="{00000000-0005-0000-0000-0000DF200000}"/>
    <cellStyle name="Input 2 4 4 2 5 3" xfId="22564" xr:uid="{00000000-0005-0000-0000-0000E0200000}"/>
    <cellStyle name="Input 2 4 4 2 6" xfId="12288" xr:uid="{00000000-0005-0000-0000-0000E1200000}"/>
    <cellStyle name="Input 2 4 4 2 6 2" xfId="27120" xr:uid="{00000000-0005-0000-0000-0000E2200000}"/>
    <cellStyle name="Input 2 4 4 2 7" xfId="9884" xr:uid="{00000000-0005-0000-0000-0000E3200000}"/>
    <cellStyle name="Input 2 4 4 2 7 2" xfId="20088" xr:uid="{00000000-0005-0000-0000-0000E4200000}"/>
    <cellStyle name="Input 2 4 4 3" xfId="3938" xr:uid="{00000000-0005-0000-0000-0000E5200000}"/>
    <cellStyle name="Input 2 4 4 3 2" xfId="7988" xr:uid="{00000000-0005-0000-0000-0000E6200000}"/>
    <cellStyle name="Input 2 4 4 3 2 2" xfId="23789" xr:uid="{00000000-0005-0000-0000-0000E7200000}"/>
    <cellStyle name="Input 2 4 4 3 3" xfId="14271" xr:uid="{00000000-0005-0000-0000-0000E8200000}"/>
    <cellStyle name="Input 2 4 4 3 3 2" xfId="29103" xr:uid="{00000000-0005-0000-0000-0000E9200000}"/>
    <cellStyle name="Input 2 4 4 3 4" xfId="21431" xr:uid="{00000000-0005-0000-0000-0000EA200000}"/>
    <cellStyle name="Input 2 4 4 4" xfId="4458" xr:uid="{00000000-0005-0000-0000-0000EB200000}"/>
    <cellStyle name="Input 2 4 4 4 2" xfId="8497" xr:uid="{00000000-0005-0000-0000-0000EC200000}"/>
    <cellStyle name="Input 2 4 4 4 2 2" xfId="24123" xr:uid="{00000000-0005-0000-0000-0000ED200000}"/>
    <cellStyle name="Input 2 4 4 4 3" xfId="14786" xr:uid="{00000000-0005-0000-0000-0000EE200000}"/>
    <cellStyle name="Input 2 4 4 4 3 2" xfId="29618" xr:uid="{00000000-0005-0000-0000-0000EF200000}"/>
    <cellStyle name="Input 2 4 4 4 4" xfId="21685" xr:uid="{00000000-0005-0000-0000-0000F0200000}"/>
    <cellStyle name="Input 2 4 4 5" xfId="2448" xr:uid="{00000000-0005-0000-0000-0000F1200000}"/>
    <cellStyle name="Input 2 4 4 5 2" xfId="6554" xr:uid="{00000000-0005-0000-0000-0000F2200000}"/>
    <cellStyle name="Input 2 4 4 5 2 2" xfId="22892" xr:uid="{00000000-0005-0000-0000-0000F3200000}"/>
    <cellStyle name="Input 2 4 4 5 3" xfId="12787" xr:uid="{00000000-0005-0000-0000-0000F4200000}"/>
    <cellStyle name="Input 2 4 4 5 3 2" xfId="27619" xr:uid="{00000000-0005-0000-0000-0000F5200000}"/>
    <cellStyle name="Input 2 4 4 5 4" xfId="20540" xr:uid="{00000000-0005-0000-0000-0000F6200000}"/>
    <cellStyle name="Input 2 4 4 6" xfId="5572" xr:uid="{00000000-0005-0000-0000-0000F7200000}"/>
    <cellStyle name="Input 2 4 4 6 2" xfId="15807" xr:uid="{00000000-0005-0000-0000-0000F8200000}"/>
    <cellStyle name="Input 2 4 4 6 2 2" xfId="30639" xr:uid="{00000000-0005-0000-0000-0000F9200000}"/>
    <cellStyle name="Input 2 4 4 6 3" xfId="22268" xr:uid="{00000000-0005-0000-0000-0000FA200000}"/>
    <cellStyle name="Input 2 4 4 7" xfId="11817" xr:uid="{00000000-0005-0000-0000-0000FB200000}"/>
    <cellStyle name="Input 2 4 4 7 2" xfId="26649" xr:uid="{00000000-0005-0000-0000-0000FC200000}"/>
    <cellStyle name="Input 2 4 4 8" xfId="9489" xr:uid="{00000000-0005-0000-0000-0000FD200000}"/>
    <cellStyle name="Input 2 4 4 8 2" xfId="19792" xr:uid="{00000000-0005-0000-0000-0000FE200000}"/>
    <cellStyle name="Input 2 4 5" xfId="1470" xr:uid="{00000000-0005-0000-0000-0000FF200000}"/>
    <cellStyle name="Input 2 4 5 2" xfId="1971" xr:uid="{00000000-0005-0000-0000-000000210000}"/>
    <cellStyle name="Input 2 4 5 2 2" xfId="3930" xr:uid="{00000000-0005-0000-0000-000001210000}"/>
    <cellStyle name="Input 2 4 5 2 2 2" xfId="7980" xr:uid="{00000000-0005-0000-0000-000002210000}"/>
    <cellStyle name="Input 2 4 5 2 2 2 2" xfId="23786" xr:uid="{00000000-0005-0000-0000-000003210000}"/>
    <cellStyle name="Input 2 4 5 2 2 3" xfId="14263" xr:uid="{00000000-0005-0000-0000-000004210000}"/>
    <cellStyle name="Input 2 4 5 2 2 3 2" xfId="29095" xr:uid="{00000000-0005-0000-0000-000005210000}"/>
    <cellStyle name="Input 2 4 5 2 2 4" xfId="21428" xr:uid="{00000000-0005-0000-0000-000006210000}"/>
    <cellStyle name="Input 2 4 5 2 3" xfId="4935" xr:uid="{00000000-0005-0000-0000-000007210000}"/>
    <cellStyle name="Input 2 4 5 2 3 2" xfId="8974" xr:uid="{00000000-0005-0000-0000-000008210000}"/>
    <cellStyle name="Input 2 4 5 2 3 2 2" xfId="24440" xr:uid="{00000000-0005-0000-0000-000009210000}"/>
    <cellStyle name="Input 2 4 5 2 3 3" xfId="15257" xr:uid="{00000000-0005-0000-0000-00000A210000}"/>
    <cellStyle name="Input 2 4 5 2 3 3 2" xfId="30089" xr:uid="{00000000-0005-0000-0000-00000B210000}"/>
    <cellStyle name="Input 2 4 5 2 3 4" xfId="21970" xr:uid="{00000000-0005-0000-0000-00000C210000}"/>
    <cellStyle name="Input 2 4 5 2 4" xfId="2925" xr:uid="{00000000-0005-0000-0000-00000D210000}"/>
    <cellStyle name="Input 2 4 5 2 4 2" xfId="7009" xr:uid="{00000000-0005-0000-0000-00000E210000}"/>
    <cellStyle name="Input 2 4 5 2 4 2 2" xfId="23183" xr:uid="{00000000-0005-0000-0000-00000F210000}"/>
    <cellStyle name="Input 2 4 5 2 4 3" xfId="13263" xr:uid="{00000000-0005-0000-0000-000010210000}"/>
    <cellStyle name="Input 2 4 5 2 4 3 2" xfId="28095" xr:uid="{00000000-0005-0000-0000-000011210000}"/>
    <cellStyle name="Input 2 4 5 2 4 4" xfId="20851" xr:uid="{00000000-0005-0000-0000-000012210000}"/>
    <cellStyle name="Input 2 4 5 2 5" xfId="6101" xr:uid="{00000000-0005-0000-0000-000013210000}"/>
    <cellStyle name="Input 2 4 5 2 5 2" xfId="16288" xr:uid="{00000000-0005-0000-0000-000014210000}"/>
    <cellStyle name="Input 2 4 5 2 5 2 2" xfId="31120" xr:uid="{00000000-0005-0000-0000-000015210000}"/>
    <cellStyle name="Input 2 4 5 2 5 3" xfId="22634" xr:uid="{00000000-0005-0000-0000-000016210000}"/>
    <cellStyle name="Input 2 4 5 2 6" xfId="12358" xr:uid="{00000000-0005-0000-0000-000017210000}"/>
    <cellStyle name="Input 2 4 5 2 6 2" xfId="27190" xr:uid="{00000000-0005-0000-0000-000018210000}"/>
    <cellStyle name="Input 2 4 5 2 7" xfId="9940" xr:uid="{00000000-0005-0000-0000-000019210000}"/>
    <cellStyle name="Input 2 4 5 2 7 2" xfId="20142" xr:uid="{00000000-0005-0000-0000-00001A210000}"/>
    <cellStyle name="Input 2 4 5 3" xfId="3356" xr:uid="{00000000-0005-0000-0000-00001B210000}"/>
    <cellStyle name="Input 2 4 5 3 2" xfId="7419" xr:uid="{00000000-0005-0000-0000-00001C210000}"/>
    <cellStyle name="Input 2 4 5 3 2 2" xfId="23421" xr:uid="{00000000-0005-0000-0000-00001D210000}"/>
    <cellStyle name="Input 2 4 5 3 3" xfId="13693" xr:uid="{00000000-0005-0000-0000-00001E210000}"/>
    <cellStyle name="Input 2 4 5 3 3 2" xfId="28525" xr:uid="{00000000-0005-0000-0000-00001F210000}"/>
    <cellStyle name="Input 2 4 5 3 4" xfId="21106" xr:uid="{00000000-0005-0000-0000-000020210000}"/>
    <cellStyle name="Input 2 4 5 4" xfId="4515" xr:uid="{00000000-0005-0000-0000-000021210000}"/>
    <cellStyle name="Input 2 4 5 4 2" xfId="8554" xr:uid="{00000000-0005-0000-0000-000022210000}"/>
    <cellStyle name="Input 2 4 5 4 2 2" xfId="24180" xr:uid="{00000000-0005-0000-0000-000023210000}"/>
    <cellStyle name="Input 2 4 5 4 3" xfId="14842" xr:uid="{00000000-0005-0000-0000-000024210000}"/>
    <cellStyle name="Input 2 4 5 4 3 2" xfId="29674" xr:uid="{00000000-0005-0000-0000-000025210000}"/>
    <cellStyle name="Input 2 4 5 4 4" xfId="21740" xr:uid="{00000000-0005-0000-0000-000026210000}"/>
    <cellStyle name="Input 2 4 5 5" xfId="2505" xr:uid="{00000000-0005-0000-0000-000027210000}"/>
    <cellStyle name="Input 2 4 5 5 2" xfId="6611" xr:uid="{00000000-0005-0000-0000-000028210000}"/>
    <cellStyle name="Input 2 4 5 5 2 2" xfId="22949" xr:uid="{00000000-0005-0000-0000-000029210000}"/>
    <cellStyle name="Input 2 4 5 5 3" xfId="12843" xr:uid="{00000000-0005-0000-0000-00002A210000}"/>
    <cellStyle name="Input 2 4 5 5 3 2" xfId="27675" xr:uid="{00000000-0005-0000-0000-00002B210000}"/>
    <cellStyle name="Input 2 4 5 5 4" xfId="20595" xr:uid="{00000000-0005-0000-0000-00002C210000}"/>
    <cellStyle name="Input 2 4 5 6" xfId="5628" xr:uid="{00000000-0005-0000-0000-00002D210000}"/>
    <cellStyle name="Input 2 4 5 6 2" xfId="15863" xr:uid="{00000000-0005-0000-0000-00002E210000}"/>
    <cellStyle name="Input 2 4 5 6 2 2" xfId="30695" xr:uid="{00000000-0005-0000-0000-00002F210000}"/>
    <cellStyle name="Input 2 4 5 6 3" xfId="22324" xr:uid="{00000000-0005-0000-0000-000030210000}"/>
    <cellStyle name="Input 2 4 5 7" xfId="11887" xr:uid="{00000000-0005-0000-0000-000031210000}"/>
    <cellStyle name="Input 2 4 5 7 2" xfId="26719" xr:uid="{00000000-0005-0000-0000-000032210000}"/>
    <cellStyle name="Input 2 4 5 8" xfId="9545" xr:uid="{00000000-0005-0000-0000-000033210000}"/>
    <cellStyle name="Input 2 4 5 8 2" xfId="19847" xr:uid="{00000000-0005-0000-0000-000034210000}"/>
    <cellStyle name="Input 2 4 6" xfId="1748" xr:uid="{00000000-0005-0000-0000-000035210000}"/>
    <cellStyle name="Input 2 4 6 2" xfId="3674" xr:uid="{00000000-0005-0000-0000-000036210000}"/>
    <cellStyle name="Input 2 4 6 2 2" xfId="7732" xr:uid="{00000000-0005-0000-0000-000037210000}"/>
    <cellStyle name="Input 2 4 6 2 2 2" xfId="23625" xr:uid="{00000000-0005-0000-0000-000038210000}"/>
    <cellStyle name="Input 2 4 6 2 3" xfId="14009" xr:uid="{00000000-0005-0000-0000-000039210000}"/>
    <cellStyle name="Input 2 4 6 2 3 2" xfId="28841" xr:uid="{00000000-0005-0000-0000-00003A210000}"/>
    <cellStyle name="Input 2 4 6 2 4" xfId="21285" xr:uid="{00000000-0005-0000-0000-00003B210000}"/>
    <cellStyle name="Input 2 4 6 3" xfId="4726" xr:uid="{00000000-0005-0000-0000-00003C210000}"/>
    <cellStyle name="Input 2 4 6 3 2" xfId="8765" xr:uid="{00000000-0005-0000-0000-00003D210000}"/>
    <cellStyle name="Input 2 4 6 3 2 2" xfId="24295" xr:uid="{00000000-0005-0000-0000-00003E210000}"/>
    <cellStyle name="Input 2 4 6 3 3" xfId="15050" xr:uid="{00000000-0005-0000-0000-00003F210000}"/>
    <cellStyle name="Input 2 4 6 3 3 2" xfId="29882" xr:uid="{00000000-0005-0000-0000-000040210000}"/>
    <cellStyle name="Input 2 4 6 3 4" xfId="21833" xr:uid="{00000000-0005-0000-0000-000041210000}"/>
    <cellStyle name="Input 2 4 6 4" xfId="2716" xr:uid="{00000000-0005-0000-0000-000042210000}"/>
    <cellStyle name="Input 2 4 6 4 2" xfId="6807" xr:uid="{00000000-0005-0000-0000-000043210000}"/>
    <cellStyle name="Input 2 4 6 4 2 2" xfId="23046" xr:uid="{00000000-0005-0000-0000-000044210000}"/>
    <cellStyle name="Input 2 4 6 4 3" xfId="13054" xr:uid="{00000000-0005-0000-0000-000045210000}"/>
    <cellStyle name="Input 2 4 6 4 3 2" xfId="27886" xr:uid="{00000000-0005-0000-0000-000046210000}"/>
    <cellStyle name="Input 2 4 6 4 4" xfId="20706" xr:uid="{00000000-0005-0000-0000-000047210000}"/>
    <cellStyle name="Input 2 4 6 5" xfId="5880" xr:uid="{00000000-0005-0000-0000-000048210000}"/>
    <cellStyle name="Input 2 4 6 5 2" xfId="16072" xr:uid="{00000000-0005-0000-0000-000049210000}"/>
    <cellStyle name="Input 2 4 6 5 2 2" xfId="30904" xr:uid="{00000000-0005-0000-0000-00004A210000}"/>
    <cellStyle name="Input 2 4 6 5 3" xfId="22477" xr:uid="{00000000-0005-0000-0000-00004B210000}"/>
    <cellStyle name="Input 2 4 6 6" xfId="12142" xr:uid="{00000000-0005-0000-0000-00004C210000}"/>
    <cellStyle name="Input 2 4 6 6 2" xfId="26974" xr:uid="{00000000-0005-0000-0000-00004D210000}"/>
    <cellStyle name="Input 2 4 6 7" xfId="9738" xr:uid="{00000000-0005-0000-0000-00004E210000}"/>
    <cellStyle name="Input 2 4 6 7 2" xfId="20036" xr:uid="{00000000-0005-0000-0000-00004F210000}"/>
    <cellStyle name="Input 2 4 7" xfId="2218" xr:uid="{00000000-0005-0000-0000-000050210000}"/>
    <cellStyle name="Input 2 4 7 2" xfId="3746" xr:uid="{00000000-0005-0000-0000-000051210000}"/>
    <cellStyle name="Input 2 4 7 2 2" xfId="7802" xr:uid="{00000000-0005-0000-0000-000052210000}"/>
    <cellStyle name="Input 2 4 7 2 2 2" xfId="23673" xr:uid="{00000000-0005-0000-0000-000053210000}"/>
    <cellStyle name="Input 2 4 7 2 3" xfId="14081" xr:uid="{00000000-0005-0000-0000-000054210000}"/>
    <cellStyle name="Input 2 4 7 2 3 2" xfId="28913" xr:uid="{00000000-0005-0000-0000-000055210000}"/>
    <cellStyle name="Input 2 4 7 2 4" xfId="21329" xr:uid="{00000000-0005-0000-0000-000056210000}"/>
    <cellStyle name="Input 2 4 7 3" xfId="5186" xr:uid="{00000000-0005-0000-0000-000057210000}"/>
    <cellStyle name="Input 2 4 7 3 2" xfId="9225" xr:uid="{00000000-0005-0000-0000-000058210000}"/>
    <cellStyle name="Input 2 4 7 3 2 2" xfId="24563" xr:uid="{00000000-0005-0000-0000-000059210000}"/>
    <cellStyle name="Input 2 4 7 3 3" xfId="15504" xr:uid="{00000000-0005-0000-0000-00005A210000}"/>
    <cellStyle name="Input 2 4 7 3 3 2" xfId="30336" xr:uid="{00000000-0005-0000-0000-00005B210000}"/>
    <cellStyle name="Input 2 4 7 3 4" xfId="22070" xr:uid="{00000000-0005-0000-0000-00005C210000}"/>
    <cellStyle name="Input 2 4 7 4" xfId="4216" xr:uid="{00000000-0005-0000-0000-00005D210000}"/>
    <cellStyle name="Input 2 4 7 4 2" xfId="8257" xr:uid="{00000000-0005-0000-0000-00005E210000}"/>
    <cellStyle name="Input 2 4 7 4 2 2" xfId="23952" xr:uid="{00000000-0005-0000-0000-00005F210000}"/>
    <cellStyle name="Input 2 4 7 4 3" xfId="14548" xr:uid="{00000000-0005-0000-0000-000060210000}"/>
    <cellStyle name="Input 2 4 7 4 3 2" xfId="29380" xr:uid="{00000000-0005-0000-0000-000061210000}"/>
    <cellStyle name="Input 2 4 7 4 4" xfId="21577" xr:uid="{00000000-0005-0000-0000-000062210000}"/>
    <cellStyle name="Input 2 4 7 5" xfId="6332" xr:uid="{00000000-0005-0000-0000-000063210000}"/>
    <cellStyle name="Input 2 4 7 5 2" xfId="22734" xr:uid="{00000000-0005-0000-0000-000064210000}"/>
    <cellStyle name="Input 2 4 7 6" xfId="12586" xr:uid="{00000000-0005-0000-0000-000065210000}"/>
    <cellStyle name="Input 2 4 7 6 2" xfId="27418" xr:uid="{00000000-0005-0000-0000-000066210000}"/>
    <cellStyle name="Input 2 4 7 7" xfId="20413" xr:uid="{00000000-0005-0000-0000-000067210000}"/>
    <cellStyle name="Input 2 4 8" xfId="3343" xr:uid="{00000000-0005-0000-0000-000068210000}"/>
    <cellStyle name="Input 2 4 8 2" xfId="7406" xr:uid="{00000000-0005-0000-0000-000069210000}"/>
    <cellStyle name="Input 2 4 8 2 2" xfId="23411" xr:uid="{00000000-0005-0000-0000-00006A210000}"/>
    <cellStyle name="Input 2 4 8 3" xfId="13680" xr:uid="{00000000-0005-0000-0000-00006B210000}"/>
    <cellStyle name="Input 2 4 8 3 2" xfId="28512" xr:uid="{00000000-0005-0000-0000-00006C210000}"/>
    <cellStyle name="Input 2 4 8 4" xfId="21098" xr:uid="{00000000-0005-0000-0000-00006D210000}"/>
    <cellStyle name="Input 2 4 9" xfId="3217" xr:uid="{00000000-0005-0000-0000-00006E210000}"/>
    <cellStyle name="Input 2 4 9 2" xfId="7281" xr:uid="{00000000-0005-0000-0000-00006F210000}"/>
    <cellStyle name="Input 2 4 9 2 2" xfId="23326" xr:uid="{00000000-0005-0000-0000-000070210000}"/>
    <cellStyle name="Input 2 4 9 3" xfId="13555" xr:uid="{00000000-0005-0000-0000-000071210000}"/>
    <cellStyle name="Input 2 4 9 3 2" xfId="28387" xr:uid="{00000000-0005-0000-0000-000072210000}"/>
    <cellStyle name="Input 2 4 9 4" xfId="21015" xr:uid="{00000000-0005-0000-0000-000073210000}"/>
    <cellStyle name="Input 2 5" xfId="1116" xr:uid="{00000000-0005-0000-0000-000074210000}"/>
    <cellStyle name="Input 2 5 10" xfId="2287" xr:uid="{00000000-0005-0000-0000-000075210000}"/>
    <cellStyle name="Input 2 5 10 2" xfId="6399" xr:uid="{00000000-0005-0000-0000-000076210000}"/>
    <cellStyle name="Input 2 5 10 2 2" xfId="22801" xr:uid="{00000000-0005-0000-0000-000077210000}"/>
    <cellStyle name="Input 2 5 10 3" xfId="12627" xr:uid="{00000000-0005-0000-0000-000078210000}"/>
    <cellStyle name="Input 2 5 10 3 2" xfId="27459" xr:uid="{00000000-0005-0000-0000-000079210000}"/>
    <cellStyle name="Input 2 5 10 4" xfId="20453" xr:uid="{00000000-0005-0000-0000-00007A210000}"/>
    <cellStyle name="Input 2 5 11" xfId="5253" xr:uid="{00000000-0005-0000-0000-00007B210000}"/>
    <cellStyle name="Input 2 5 11 2" xfId="15569" xr:uid="{00000000-0005-0000-0000-00007C210000}"/>
    <cellStyle name="Input 2 5 11 2 2" xfId="30401" xr:uid="{00000000-0005-0000-0000-00007D210000}"/>
    <cellStyle name="Input 2 5 11 3" xfId="22110" xr:uid="{00000000-0005-0000-0000-00007E210000}"/>
    <cellStyle name="Input 2 5 12" xfId="5411" xr:uid="{00000000-0005-0000-0000-00007F210000}"/>
    <cellStyle name="Input 2 5 12 2" xfId="15647" xr:uid="{00000000-0005-0000-0000-000080210000}"/>
    <cellStyle name="Input 2 5 12 2 2" xfId="30479" xr:uid="{00000000-0005-0000-0000-000081210000}"/>
    <cellStyle name="Input 2 5 12 3" xfId="22172" xr:uid="{00000000-0005-0000-0000-000082210000}"/>
    <cellStyle name="Input 2 5 13" xfId="9380" xr:uid="{00000000-0005-0000-0000-000083210000}"/>
    <cellStyle name="Input 2 5 13 2" xfId="24686" xr:uid="{00000000-0005-0000-0000-000084210000}"/>
    <cellStyle name="Input 2 5 14" xfId="5369" xr:uid="{00000000-0005-0000-0000-000085210000}"/>
    <cellStyle name="Input 2 5 14 2" xfId="18243" xr:uid="{00000000-0005-0000-0000-000086210000}"/>
    <cellStyle name="Input 2 5 2" xfId="1323" xr:uid="{00000000-0005-0000-0000-000087210000}"/>
    <cellStyle name="Input 2 5 2 2" xfId="1827" xr:uid="{00000000-0005-0000-0000-000088210000}"/>
    <cellStyle name="Input 2 5 2 2 2" xfId="3929" xr:uid="{00000000-0005-0000-0000-000089210000}"/>
    <cellStyle name="Input 2 5 2 2 2 2" xfId="7979" xr:uid="{00000000-0005-0000-0000-00008A210000}"/>
    <cellStyle name="Input 2 5 2 2 2 2 2" xfId="23785" xr:uid="{00000000-0005-0000-0000-00008B210000}"/>
    <cellStyle name="Input 2 5 2 2 2 3" xfId="14262" xr:uid="{00000000-0005-0000-0000-00008C210000}"/>
    <cellStyle name="Input 2 5 2 2 2 3 2" xfId="29094" xr:uid="{00000000-0005-0000-0000-00008D210000}"/>
    <cellStyle name="Input 2 5 2 2 2 4" xfId="21427" xr:uid="{00000000-0005-0000-0000-00008E210000}"/>
    <cellStyle name="Input 2 5 2 2 3" xfId="4805" xr:uid="{00000000-0005-0000-0000-00008F210000}"/>
    <cellStyle name="Input 2 5 2 2 3 2" xfId="8844" xr:uid="{00000000-0005-0000-0000-000090210000}"/>
    <cellStyle name="Input 2 5 2 2 3 2 2" xfId="24342" xr:uid="{00000000-0005-0000-0000-000091210000}"/>
    <cellStyle name="Input 2 5 2 2 3 3" xfId="15129" xr:uid="{00000000-0005-0000-0000-000092210000}"/>
    <cellStyle name="Input 2 5 2 2 3 3 2" xfId="29961" xr:uid="{00000000-0005-0000-0000-000093210000}"/>
    <cellStyle name="Input 2 5 2 2 3 4" xfId="21880" xr:uid="{00000000-0005-0000-0000-000094210000}"/>
    <cellStyle name="Input 2 5 2 2 4" xfId="2795" xr:uid="{00000000-0005-0000-0000-000095210000}"/>
    <cellStyle name="Input 2 5 2 2 4 2" xfId="6886" xr:uid="{00000000-0005-0000-0000-000096210000}"/>
    <cellStyle name="Input 2 5 2 2 4 2 2" xfId="23093" xr:uid="{00000000-0005-0000-0000-000097210000}"/>
    <cellStyle name="Input 2 5 2 2 4 3" xfId="13133" xr:uid="{00000000-0005-0000-0000-000098210000}"/>
    <cellStyle name="Input 2 5 2 2 4 3 2" xfId="27965" xr:uid="{00000000-0005-0000-0000-000099210000}"/>
    <cellStyle name="Input 2 5 2 2 4 4" xfId="20753" xr:uid="{00000000-0005-0000-0000-00009A210000}"/>
    <cellStyle name="Input 2 5 2 2 5" xfId="5959" xr:uid="{00000000-0005-0000-0000-00009B210000}"/>
    <cellStyle name="Input 2 5 2 2 5 2" xfId="16151" xr:uid="{00000000-0005-0000-0000-00009C210000}"/>
    <cellStyle name="Input 2 5 2 2 5 2 2" xfId="30983" xr:uid="{00000000-0005-0000-0000-00009D210000}"/>
    <cellStyle name="Input 2 5 2 2 5 3" xfId="22524" xr:uid="{00000000-0005-0000-0000-00009E210000}"/>
    <cellStyle name="Input 2 5 2 2 6" xfId="12221" xr:uid="{00000000-0005-0000-0000-00009F210000}"/>
    <cellStyle name="Input 2 5 2 2 6 2" xfId="27053" xr:uid="{00000000-0005-0000-0000-0000A0210000}"/>
    <cellStyle name="Input 2 5 2 2 7" xfId="9817" xr:uid="{00000000-0005-0000-0000-0000A1210000}"/>
    <cellStyle name="Input 2 5 2 2 7 2" xfId="20068" xr:uid="{00000000-0005-0000-0000-0000A2210000}"/>
    <cellStyle name="Input 2 5 2 3" xfId="3876" xr:uid="{00000000-0005-0000-0000-0000A3210000}"/>
    <cellStyle name="Input 2 5 2 3 2" xfId="7928" xr:uid="{00000000-0005-0000-0000-0000A4210000}"/>
    <cellStyle name="Input 2 5 2 3 2 2" xfId="23755" xr:uid="{00000000-0005-0000-0000-0000A5210000}"/>
    <cellStyle name="Input 2 5 2 3 3" xfId="14211" xr:uid="{00000000-0005-0000-0000-0000A6210000}"/>
    <cellStyle name="Input 2 5 2 3 3 2" xfId="29043" xr:uid="{00000000-0005-0000-0000-0000A7210000}"/>
    <cellStyle name="Input 2 5 2 3 4" xfId="21397" xr:uid="{00000000-0005-0000-0000-0000A8210000}"/>
    <cellStyle name="Input 2 5 2 4" xfId="4385" xr:uid="{00000000-0005-0000-0000-0000A9210000}"/>
    <cellStyle name="Input 2 5 2 4 2" xfId="8424" xr:uid="{00000000-0005-0000-0000-0000AA210000}"/>
    <cellStyle name="Input 2 5 2 4 2 2" xfId="24082" xr:uid="{00000000-0005-0000-0000-0000AB210000}"/>
    <cellStyle name="Input 2 5 2 4 3" xfId="14714" xr:uid="{00000000-0005-0000-0000-0000AC210000}"/>
    <cellStyle name="Input 2 5 2 4 3 2" xfId="29546" xr:uid="{00000000-0005-0000-0000-0000AD210000}"/>
    <cellStyle name="Input 2 5 2 4 4" xfId="21650" xr:uid="{00000000-0005-0000-0000-0000AE210000}"/>
    <cellStyle name="Input 2 5 2 5" xfId="2375" xr:uid="{00000000-0005-0000-0000-0000AF210000}"/>
    <cellStyle name="Input 2 5 2 5 2" xfId="6487" xr:uid="{00000000-0005-0000-0000-0000B0210000}"/>
    <cellStyle name="Input 2 5 2 5 2 2" xfId="22857" xr:uid="{00000000-0005-0000-0000-0000B1210000}"/>
    <cellStyle name="Input 2 5 2 5 3" xfId="12714" xr:uid="{00000000-0005-0000-0000-0000B2210000}"/>
    <cellStyle name="Input 2 5 2 5 3 2" xfId="27546" xr:uid="{00000000-0005-0000-0000-0000B3210000}"/>
    <cellStyle name="Input 2 5 2 5 4" xfId="20499" xr:uid="{00000000-0005-0000-0000-0000B4210000}"/>
    <cellStyle name="Input 2 5 2 6" xfId="5500" xr:uid="{00000000-0005-0000-0000-0000B5210000}"/>
    <cellStyle name="Input 2 5 2 6 2" xfId="15735" xr:uid="{00000000-0005-0000-0000-0000B6210000}"/>
    <cellStyle name="Input 2 5 2 6 2 2" xfId="30567" xr:uid="{00000000-0005-0000-0000-0000B7210000}"/>
    <cellStyle name="Input 2 5 2 6 3" xfId="22228" xr:uid="{00000000-0005-0000-0000-0000B8210000}"/>
    <cellStyle name="Input 2 5 2 7" xfId="11750" xr:uid="{00000000-0005-0000-0000-0000B9210000}"/>
    <cellStyle name="Input 2 5 2 7 2" xfId="26582" xr:uid="{00000000-0005-0000-0000-0000BA210000}"/>
    <cellStyle name="Input 2 5 2 8" xfId="9421" xr:uid="{00000000-0005-0000-0000-0000BB210000}"/>
    <cellStyle name="Input 2 5 2 8 2" xfId="19725" xr:uid="{00000000-0005-0000-0000-0000BC210000}"/>
    <cellStyle name="Input 2 5 3" xfId="1481" xr:uid="{00000000-0005-0000-0000-0000BD210000}"/>
    <cellStyle name="Input 2 5 3 2" xfId="1982" xr:uid="{00000000-0005-0000-0000-0000BE210000}"/>
    <cellStyle name="Input 2 5 3 2 2" xfId="3738" xr:uid="{00000000-0005-0000-0000-0000BF210000}"/>
    <cellStyle name="Input 2 5 3 2 2 2" xfId="7794" xr:uid="{00000000-0005-0000-0000-0000C0210000}"/>
    <cellStyle name="Input 2 5 3 2 2 2 2" xfId="23668" xr:uid="{00000000-0005-0000-0000-0000C1210000}"/>
    <cellStyle name="Input 2 5 3 2 2 3" xfId="14073" xr:uid="{00000000-0005-0000-0000-0000C2210000}"/>
    <cellStyle name="Input 2 5 3 2 2 3 2" xfId="28905" xr:uid="{00000000-0005-0000-0000-0000C3210000}"/>
    <cellStyle name="Input 2 5 3 2 2 4" xfId="21324" xr:uid="{00000000-0005-0000-0000-0000C4210000}"/>
    <cellStyle name="Input 2 5 3 2 3" xfId="4946" xr:uid="{00000000-0005-0000-0000-0000C5210000}"/>
    <cellStyle name="Input 2 5 3 2 3 2" xfId="8985" xr:uid="{00000000-0005-0000-0000-0000C6210000}"/>
    <cellStyle name="Input 2 5 3 2 3 2 2" xfId="24451" xr:uid="{00000000-0005-0000-0000-0000C7210000}"/>
    <cellStyle name="Input 2 5 3 2 3 3" xfId="15268" xr:uid="{00000000-0005-0000-0000-0000C8210000}"/>
    <cellStyle name="Input 2 5 3 2 3 3 2" xfId="30100" xr:uid="{00000000-0005-0000-0000-0000C9210000}"/>
    <cellStyle name="Input 2 5 3 2 3 4" xfId="21981" xr:uid="{00000000-0005-0000-0000-0000CA210000}"/>
    <cellStyle name="Input 2 5 3 2 4" xfId="2936" xr:uid="{00000000-0005-0000-0000-0000CB210000}"/>
    <cellStyle name="Input 2 5 3 2 4 2" xfId="7020" xr:uid="{00000000-0005-0000-0000-0000CC210000}"/>
    <cellStyle name="Input 2 5 3 2 4 2 2" xfId="23194" xr:uid="{00000000-0005-0000-0000-0000CD210000}"/>
    <cellStyle name="Input 2 5 3 2 4 3" xfId="13274" xr:uid="{00000000-0005-0000-0000-0000CE210000}"/>
    <cellStyle name="Input 2 5 3 2 4 3 2" xfId="28106" xr:uid="{00000000-0005-0000-0000-0000CF210000}"/>
    <cellStyle name="Input 2 5 3 2 4 4" xfId="20862" xr:uid="{00000000-0005-0000-0000-0000D0210000}"/>
    <cellStyle name="Input 2 5 3 2 5" xfId="6112" xr:uid="{00000000-0005-0000-0000-0000D1210000}"/>
    <cellStyle name="Input 2 5 3 2 5 2" xfId="16299" xr:uid="{00000000-0005-0000-0000-0000D2210000}"/>
    <cellStyle name="Input 2 5 3 2 5 2 2" xfId="31131" xr:uid="{00000000-0005-0000-0000-0000D3210000}"/>
    <cellStyle name="Input 2 5 3 2 5 3" xfId="22645" xr:uid="{00000000-0005-0000-0000-0000D4210000}"/>
    <cellStyle name="Input 2 5 3 2 6" xfId="12369" xr:uid="{00000000-0005-0000-0000-0000D5210000}"/>
    <cellStyle name="Input 2 5 3 2 6 2" xfId="27201" xr:uid="{00000000-0005-0000-0000-0000D6210000}"/>
    <cellStyle name="Input 2 5 3 2 7" xfId="9951" xr:uid="{00000000-0005-0000-0000-0000D7210000}"/>
    <cellStyle name="Input 2 5 3 2 7 2" xfId="20153" xr:uid="{00000000-0005-0000-0000-0000D8210000}"/>
    <cellStyle name="Input 2 5 3 3" xfId="4086" xr:uid="{00000000-0005-0000-0000-0000D9210000}"/>
    <cellStyle name="Input 2 5 3 3 2" xfId="8132" xr:uid="{00000000-0005-0000-0000-0000DA210000}"/>
    <cellStyle name="Input 2 5 3 3 2 2" xfId="23880" xr:uid="{00000000-0005-0000-0000-0000DB210000}"/>
    <cellStyle name="Input 2 5 3 3 3" xfId="14418" xr:uid="{00000000-0005-0000-0000-0000DC210000}"/>
    <cellStyle name="Input 2 5 3 3 3 2" xfId="29250" xr:uid="{00000000-0005-0000-0000-0000DD210000}"/>
    <cellStyle name="Input 2 5 3 3 4" xfId="21510" xr:uid="{00000000-0005-0000-0000-0000DE210000}"/>
    <cellStyle name="Input 2 5 3 4" xfId="4526" xr:uid="{00000000-0005-0000-0000-0000DF210000}"/>
    <cellStyle name="Input 2 5 3 4 2" xfId="8565" xr:uid="{00000000-0005-0000-0000-0000E0210000}"/>
    <cellStyle name="Input 2 5 3 4 2 2" xfId="24191" xr:uid="{00000000-0005-0000-0000-0000E1210000}"/>
    <cellStyle name="Input 2 5 3 4 3" xfId="14853" xr:uid="{00000000-0005-0000-0000-0000E2210000}"/>
    <cellStyle name="Input 2 5 3 4 3 2" xfId="29685" xr:uid="{00000000-0005-0000-0000-0000E3210000}"/>
    <cellStyle name="Input 2 5 3 4 4" xfId="21751" xr:uid="{00000000-0005-0000-0000-0000E4210000}"/>
    <cellStyle name="Input 2 5 3 5" xfId="2516" xr:uid="{00000000-0005-0000-0000-0000E5210000}"/>
    <cellStyle name="Input 2 5 3 5 2" xfId="6622" xr:uid="{00000000-0005-0000-0000-0000E6210000}"/>
    <cellStyle name="Input 2 5 3 5 2 2" xfId="22960" xr:uid="{00000000-0005-0000-0000-0000E7210000}"/>
    <cellStyle name="Input 2 5 3 5 3" xfId="12854" xr:uid="{00000000-0005-0000-0000-0000E8210000}"/>
    <cellStyle name="Input 2 5 3 5 3 2" xfId="27686" xr:uid="{00000000-0005-0000-0000-0000E9210000}"/>
    <cellStyle name="Input 2 5 3 5 4" xfId="20606" xr:uid="{00000000-0005-0000-0000-0000EA210000}"/>
    <cellStyle name="Input 2 5 3 6" xfId="5639" xr:uid="{00000000-0005-0000-0000-0000EB210000}"/>
    <cellStyle name="Input 2 5 3 6 2" xfId="15874" xr:uid="{00000000-0005-0000-0000-0000EC210000}"/>
    <cellStyle name="Input 2 5 3 6 2 2" xfId="30706" xr:uid="{00000000-0005-0000-0000-0000ED210000}"/>
    <cellStyle name="Input 2 5 3 6 3" xfId="22335" xr:uid="{00000000-0005-0000-0000-0000EE210000}"/>
    <cellStyle name="Input 2 5 3 7" xfId="11898" xr:uid="{00000000-0005-0000-0000-0000EF210000}"/>
    <cellStyle name="Input 2 5 3 7 2" xfId="26730" xr:uid="{00000000-0005-0000-0000-0000F0210000}"/>
    <cellStyle name="Input 2 5 3 8" xfId="9556" xr:uid="{00000000-0005-0000-0000-0000F1210000}"/>
    <cellStyle name="Input 2 5 3 8 2" xfId="19858" xr:uid="{00000000-0005-0000-0000-0000F2210000}"/>
    <cellStyle name="Input 2 5 4" xfId="1403" xr:uid="{00000000-0005-0000-0000-0000F3210000}"/>
    <cellStyle name="Input 2 5 4 2" xfId="1905" xr:uid="{00000000-0005-0000-0000-0000F4210000}"/>
    <cellStyle name="Input 2 5 4 2 2" xfId="3925" xr:uid="{00000000-0005-0000-0000-0000F5210000}"/>
    <cellStyle name="Input 2 5 4 2 2 2" xfId="7975" xr:uid="{00000000-0005-0000-0000-0000F6210000}"/>
    <cellStyle name="Input 2 5 4 2 2 2 2" xfId="23782" xr:uid="{00000000-0005-0000-0000-0000F7210000}"/>
    <cellStyle name="Input 2 5 4 2 2 3" xfId="14258" xr:uid="{00000000-0005-0000-0000-0000F8210000}"/>
    <cellStyle name="Input 2 5 4 2 2 3 2" xfId="29090" xr:uid="{00000000-0005-0000-0000-0000F9210000}"/>
    <cellStyle name="Input 2 5 4 2 2 4" xfId="21424" xr:uid="{00000000-0005-0000-0000-0000FA210000}"/>
    <cellStyle name="Input 2 5 4 2 3" xfId="4883" xr:uid="{00000000-0005-0000-0000-0000FB210000}"/>
    <cellStyle name="Input 2 5 4 2 3 2" xfId="8922" xr:uid="{00000000-0005-0000-0000-0000FC210000}"/>
    <cellStyle name="Input 2 5 4 2 3 2 2" xfId="24388" xr:uid="{00000000-0005-0000-0000-0000FD210000}"/>
    <cellStyle name="Input 2 5 4 2 3 3" xfId="15206" xr:uid="{00000000-0005-0000-0000-0000FE210000}"/>
    <cellStyle name="Input 2 5 4 2 3 3 2" xfId="30038" xr:uid="{00000000-0005-0000-0000-0000FF210000}"/>
    <cellStyle name="Input 2 5 4 2 3 4" xfId="21920" xr:uid="{00000000-0005-0000-0000-000000220000}"/>
    <cellStyle name="Input 2 5 4 2 4" xfId="2873" xr:uid="{00000000-0005-0000-0000-000001220000}"/>
    <cellStyle name="Input 2 5 4 2 4 2" xfId="6958" xr:uid="{00000000-0005-0000-0000-000002220000}"/>
    <cellStyle name="Input 2 5 4 2 4 2 2" xfId="23133" xr:uid="{00000000-0005-0000-0000-000003220000}"/>
    <cellStyle name="Input 2 5 4 2 4 3" xfId="13211" xr:uid="{00000000-0005-0000-0000-000004220000}"/>
    <cellStyle name="Input 2 5 4 2 4 3 2" xfId="28043" xr:uid="{00000000-0005-0000-0000-000005220000}"/>
    <cellStyle name="Input 2 5 4 2 4 4" xfId="20799" xr:uid="{00000000-0005-0000-0000-000006220000}"/>
    <cellStyle name="Input 2 5 4 2 5" xfId="6036" xr:uid="{00000000-0005-0000-0000-000007220000}"/>
    <cellStyle name="Input 2 5 4 2 5 2" xfId="16223" xr:uid="{00000000-0005-0000-0000-000008220000}"/>
    <cellStyle name="Input 2 5 4 2 5 2 2" xfId="31055" xr:uid="{00000000-0005-0000-0000-000009220000}"/>
    <cellStyle name="Input 2 5 4 2 5 3" xfId="22569" xr:uid="{00000000-0005-0000-0000-00000A220000}"/>
    <cellStyle name="Input 2 5 4 2 6" xfId="12293" xr:uid="{00000000-0005-0000-0000-00000B220000}"/>
    <cellStyle name="Input 2 5 4 2 6 2" xfId="27125" xr:uid="{00000000-0005-0000-0000-00000C220000}"/>
    <cellStyle name="Input 2 5 4 2 7" xfId="9889" xr:uid="{00000000-0005-0000-0000-00000D220000}"/>
    <cellStyle name="Input 2 5 4 2 7 2" xfId="20092" xr:uid="{00000000-0005-0000-0000-00000E220000}"/>
    <cellStyle name="Input 2 5 4 3" xfId="3569" xr:uid="{00000000-0005-0000-0000-00000F220000}"/>
    <cellStyle name="Input 2 5 4 3 2" xfId="7631" xr:uid="{00000000-0005-0000-0000-000010220000}"/>
    <cellStyle name="Input 2 5 4 3 2 2" xfId="23557" xr:uid="{00000000-0005-0000-0000-000011220000}"/>
    <cellStyle name="Input 2 5 4 3 3" xfId="13905" xr:uid="{00000000-0005-0000-0000-000012220000}"/>
    <cellStyle name="Input 2 5 4 3 3 2" xfId="28737" xr:uid="{00000000-0005-0000-0000-000013220000}"/>
    <cellStyle name="Input 2 5 4 3 4" xfId="21227" xr:uid="{00000000-0005-0000-0000-000014220000}"/>
    <cellStyle name="Input 2 5 4 4" xfId="4463" xr:uid="{00000000-0005-0000-0000-000015220000}"/>
    <cellStyle name="Input 2 5 4 4 2" xfId="8502" xr:uid="{00000000-0005-0000-0000-000016220000}"/>
    <cellStyle name="Input 2 5 4 4 2 2" xfId="24128" xr:uid="{00000000-0005-0000-0000-000017220000}"/>
    <cellStyle name="Input 2 5 4 4 3" xfId="14791" xr:uid="{00000000-0005-0000-0000-000018220000}"/>
    <cellStyle name="Input 2 5 4 4 3 2" xfId="29623" xr:uid="{00000000-0005-0000-0000-000019220000}"/>
    <cellStyle name="Input 2 5 4 4 4" xfId="21690" xr:uid="{00000000-0005-0000-0000-00001A220000}"/>
    <cellStyle name="Input 2 5 4 5" xfId="2453" xr:uid="{00000000-0005-0000-0000-00001B220000}"/>
    <cellStyle name="Input 2 5 4 5 2" xfId="6559" xr:uid="{00000000-0005-0000-0000-00001C220000}"/>
    <cellStyle name="Input 2 5 4 5 2 2" xfId="22897" xr:uid="{00000000-0005-0000-0000-00001D220000}"/>
    <cellStyle name="Input 2 5 4 5 3" xfId="12792" xr:uid="{00000000-0005-0000-0000-00001E220000}"/>
    <cellStyle name="Input 2 5 4 5 3 2" xfId="27624" xr:uid="{00000000-0005-0000-0000-00001F220000}"/>
    <cellStyle name="Input 2 5 4 5 4" xfId="20545" xr:uid="{00000000-0005-0000-0000-000020220000}"/>
    <cellStyle name="Input 2 5 4 6" xfId="5577" xr:uid="{00000000-0005-0000-0000-000021220000}"/>
    <cellStyle name="Input 2 5 4 6 2" xfId="15812" xr:uid="{00000000-0005-0000-0000-000022220000}"/>
    <cellStyle name="Input 2 5 4 6 2 2" xfId="30644" xr:uid="{00000000-0005-0000-0000-000023220000}"/>
    <cellStyle name="Input 2 5 4 6 3" xfId="22273" xr:uid="{00000000-0005-0000-0000-000024220000}"/>
    <cellStyle name="Input 2 5 4 7" xfId="11822" xr:uid="{00000000-0005-0000-0000-000025220000}"/>
    <cellStyle name="Input 2 5 4 7 2" xfId="26654" xr:uid="{00000000-0005-0000-0000-000026220000}"/>
    <cellStyle name="Input 2 5 4 8" xfId="9494" xr:uid="{00000000-0005-0000-0000-000027220000}"/>
    <cellStyle name="Input 2 5 4 8 2" xfId="19797" xr:uid="{00000000-0005-0000-0000-000028220000}"/>
    <cellStyle name="Input 2 5 5" xfId="1471" xr:uid="{00000000-0005-0000-0000-000029220000}"/>
    <cellStyle name="Input 2 5 5 2" xfId="1972" xr:uid="{00000000-0005-0000-0000-00002A220000}"/>
    <cellStyle name="Input 2 5 5 2 2" xfId="4024" xr:uid="{00000000-0005-0000-0000-00002B220000}"/>
    <cellStyle name="Input 2 5 5 2 2 2" xfId="8071" xr:uid="{00000000-0005-0000-0000-00002C220000}"/>
    <cellStyle name="Input 2 5 5 2 2 2 2" xfId="23842" xr:uid="{00000000-0005-0000-0000-00002D220000}"/>
    <cellStyle name="Input 2 5 5 2 2 3" xfId="14356" xr:uid="{00000000-0005-0000-0000-00002E220000}"/>
    <cellStyle name="Input 2 5 5 2 2 3 2" xfId="29188" xr:uid="{00000000-0005-0000-0000-00002F220000}"/>
    <cellStyle name="Input 2 5 5 2 2 4" xfId="21480" xr:uid="{00000000-0005-0000-0000-000030220000}"/>
    <cellStyle name="Input 2 5 5 2 3" xfId="4936" xr:uid="{00000000-0005-0000-0000-000031220000}"/>
    <cellStyle name="Input 2 5 5 2 3 2" xfId="8975" xr:uid="{00000000-0005-0000-0000-000032220000}"/>
    <cellStyle name="Input 2 5 5 2 3 2 2" xfId="24441" xr:uid="{00000000-0005-0000-0000-000033220000}"/>
    <cellStyle name="Input 2 5 5 2 3 3" xfId="15258" xr:uid="{00000000-0005-0000-0000-000034220000}"/>
    <cellStyle name="Input 2 5 5 2 3 3 2" xfId="30090" xr:uid="{00000000-0005-0000-0000-000035220000}"/>
    <cellStyle name="Input 2 5 5 2 3 4" xfId="21971" xr:uid="{00000000-0005-0000-0000-000036220000}"/>
    <cellStyle name="Input 2 5 5 2 4" xfId="2926" xr:uid="{00000000-0005-0000-0000-000037220000}"/>
    <cellStyle name="Input 2 5 5 2 4 2" xfId="7010" xr:uid="{00000000-0005-0000-0000-000038220000}"/>
    <cellStyle name="Input 2 5 5 2 4 2 2" xfId="23184" xr:uid="{00000000-0005-0000-0000-000039220000}"/>
    <cellStyle name="Input 2 5 5 2 4 3" xfId="13264" xr:uid="{00000000-0005-0000-0000-00003A220000}"/>
    <cellStyle name="Input 2 5 5 2 4 3 2" xfId="28096" xr:uid="{00000000-0005-0000-0000-00003B220000}"/>
    <cellStyle name="Input 2 5 5 2 4 4" xfId="20852" xr:uid="{00000000-0005-0000-0000-00003C220000}"/>
    <cellStyle name="Input 2 5 5 2 5" xfId="6102" xr:uid="{00000000-0005-0000-0000-00003D220000}"/>
    <cellStyle name="Input 2 5 5 2 5 2" xfId="16289" xr:uid="{00000000-0005-0000-0000-00003E220000}"/>
    <cellStyle name="Input 2 5 5 2 5 2 2" xfId="31121" xr:uid="{00000000-0005-0000-0000-00003F220000}"/>
    <cellStyle name="Input 2 5 5 2 5 3" xfId="22635" xr:uid="{00000000-0005-0000-0000-000040220000}"/>
    <cellStyle name="Input 2 5 5 2 6" xfId="12359" xr:uid="{00000000-0005-0000-0000-000041220000}"/>
    <cellStyle name="Input 2 5 5 2 6 2" xfId="27191" xr:uid="{00000000-0005-0000-0000-000042220000}"/>
    <cellStyle name="Input 2 5 5 2 7" xfId="9941" xr:uid="{00000000-0005-0000-0000-000043220000}"/>
    <cellStyle name="Input 2 5 5 2 7 2" xfId="20143" xr:uid="{00000000-0005-0000-0000-000044220000}"/>
    <cellStyle name="Input 2 5 5 3" xfId="3242" xr:uid="{00000000-0005-0000-0000-000045220000}"/>
    <cellStyle name="Input 2 5 5 3 2" xfId="7306" xr:uid="{00000000-0005-0000-0000-000046220000}"/>
    <cellStyle name="Input 2 5 5 3 2 2" xfId="23346" xr:uid="{00000000-0005-0000-0000-000047220000}"/>
    <cellStyle name="Input 2 5 5 3 3" xfId="13579" xr:uid="{00000000-0005-0000-0000-000048220000}"/>
    <cellStyle name="Input 2 5 5 3 3 2" xfId="28411" xr:uid="{00000000-0005-0000-0000-000049220000}"/>
    <cellStyle name="Input 2 5 5 3 4" xfId="21033" xr:uid="{00000000-0005-0000-0000-00004A220000}"/>
    <cellStyle name="Input 2 5 5 4" xfId="4516" xr:uid="{00000000-0005-0000-0000-00004B220000}"/>
    <cellStyle name="Input 2 5 5 4 2" xfId="8555" xr:uid="{00000000-0005-0000-0000-00004C220000}"/>
    <cellStyle name="Input 2 5 5 4 2 2" xfId="24181" xr:uid="{00000000-0005-0000-0000-00004D220000}"/>
    <cellStyle name="Input 2 5 5 4 3" xfId="14843" xr:uid="{00000000-0005-0000-0000-00004E220000}"/>
    <cellStyle name="Input 2 5 5 4 3 2" xfId="29675" xr:uid="{00000000-0005-0000-0000-00004F220000}"/>
    <cellStyle name="Input 2 5 5 4 4" xfId="21741" xr:uid="{00000000-0005-0000-0000-000050220000}"/>
    <cellStyle name="Input 2 5 5 5" xfId="2506" xr:uid="{00000000-0005-0000-0000-000051220000}"/>
    <cellStyle name="Input 2 5 5 5 2" xfId="6612" xr:uid="{00000000-0005-0000-0000-000052220000}"/>
    <cellStyle name="Input 2 5 5 5 2 2" xfId="22950" xr:uid="{00000000-0005-0000-0000-000053220000}"/>
    <cellStyle name="Input 2 5 5 5 3" xfId="12844" xr:uid="{00000000-0005-0000-0000-000054220000}"/>
    <cellStyle name="Input 2 5 5 5 3 2" xfId="27676" xr:uid="{00000000-0005-0000-0000-000055220000}"/>
    <cellStyle name="Input 2 5 5 5 4" xfId="20596" xr:uid="{00000000-0005-0000-0000-000056220000}"/>
    <cellStyle name="Input 2 5 5 6" xfId="5629" xr:uid="{00000000-0005-0000-0000-000057220000}"/>
    <cellStyle name="Input 2 5 5 6 2" xfId="15864" xr:uid="{00000000-0005-0000-0000-000058220000}"/>
    <cellStyle name="Input 2 5 5 6 2 2" xfId="30696" xr:uid="{00000000-0005-0000-0000-000059220000}"/>
    <cellStyle name="Input 2 5 5 6 3" xfId="22325" xr:uid="{00000000-0005-0000-0000-00005A220000}"/>
    <cellStyle name="Input 2 5 5 7" xfId="11888" xr:uid="{00000000-0005-0000-0000-00005B220000}"/>
    <cellStyle name="Input 2 5 5 7 2" xfId="26720" xr:uid="{00000000-0005-0000-0000-00005C220000}"/>
    <cellStyle name="Input 2 5 5 8" xfId="9546" xr:uid="{00000000-0005-0000-0000-00005D220000}"/>
    <cellStyle name="Input 2 5 5 8 2" xfId="19848" xr:uid="{00000000-0005-0000-0000-00005E220000}"/>
    <cellStyle name="Input 2 5 6" xfId="1749" xr:uid="{00000000-0005-0000-0000-00005F220000}"/>
    <cellStyle name="Input 2 5 6 2" xfId="3591" xr:uid="{00000000-0005-0000-0000-000060220000}"/>
    <cellStyle name="Input 2 5 6 2 2" xfId="7653" xr:uid="{00000000-0005-0000-0000-000061220000}"/>
    <cellStyle name="Input 2 5 6 2 2 2" xfId="23569" xr:uid="{00000000-0005-0000-0000-000062220000}"/>
    <cellStyle name="Input 2 5 6 2 3" xfId="13927" xr:uid="{00000000-0005-0000-0000-000063220000}"/>
    <cellStyle name="Input 2 5 6 2 3 2" xfId="28759" xr:uid="{00000000-0005-0000-0000-000064220000}"/>
    <cellStyle name="Input 2 5 6 2 4" xfId="21238" xr:uid="{00000000-0005-0000-0000-000065220000}"/>
    <cellStyle name="Input 2 5 6 3" xfId="4727" xr:uid="{00000000-0005-0000-0000-000066220000}"/>
    <cellStyle name="Input 2 5 6 3 2" xfId="8766" xr:uid="{00000000-0005-0000-0000-000067220000}"/>
    <cellStyle name="Input 2 5 6 3 2 2" xfId="24296" xr:uid="{00000000-0005-0000-0000-000068220000}"/>
    <cellStyle name="Input 2 5 6 3 3" xfId="15051" xr:uid="{00000000-0005-0000-0000-000069220000}"/>
    <cellStyle name="Input 2 5 6 3 3 2" xfId="29883" xr:uid="{00000000-0005-0000-0000-00006A220000}"/>
    <cellStyle name="Input 2 5 6 3 4" xfId="21834" xr:uid="{00000000-0005-0000-0000-00006B220000}"/>
    <cellStyle name="Input 2 5 6 4" xfId="2717" xr:uid="{00000000-0005-0000-0000-00006C220000}"/>
    <cellStyle name="Input 2 5 6 4 2" xfId="6808" xr:uid="{00000000-0005-0000-0000-00006D220000}"/>
    <cellStyle name="Input 2 5 6 4 2 2" xfId="23047" xr:uid="{00000000-0005-0000-0000-00006E220000}"/>
    <cellStyle name="Input 2 5 6 4 3" xfId="13055" xr:uid="{00000000-0005-0000-0000-00006F220000}"/>
    <cellStyle name="Input 2 5 6 4 3 2" xfId="27887" xr:uid="{00000000-0005-0000-0000-000070220000}"/>
    <cellStyle name="Input 2 5 6 4 4" xfId="20707" xr:uid="{00000000-0005-0000-0000-000071220000}"/>
    <cellStyle name="Input 2 5 6 5" xfId="5881" xr:uid="{00000000-0005-0000-0000-000072220000}"/>
    <cellStyle name="Input 2 5 6 5 2" xfId="16073" xr:uid="{00000000-0005-0000-0000-000073220000}"/>
    <cellStyle name="Input 2 5 6 5 2 2" xfId="30905" xr:uid="{00000000-0005-0000-0000-000074220000}"/>
    <cellStyle name="Input 2 5 6 5 3" xfId="22478" xr:uid="{00000000-0005-0000-0000-000075220000}"/>
    <cellStyle name="Input 2 5 6 6" xfId="12143" xr:uid="{00000000-0005-0000-0000-000076220000}"/>
    <cellStyle name="Input 2 5 6 6 2" xfId="26975" xr:uid="{00000000-0005-0000-0000-000077220000}"/>
    <cellStyle name="Input 2 5 6 7" xfId="9739" xr:uid="{00000000-0005-0000-0000-000078220000}"/>
    <cellStyle name="Input 2 5 6 7 2" xfId="20037" xr:uid="{00000000-0005-0000-0000-000079220000}"/>
    <cellStyle name="Input 2 5 7" xfId="2217" xr:uid="{00000000-0005-0000-0000-00007A220000}"/>
    <cellStyle name="Input 2 5 7 2" xfId="3845" xr:uid="{00000000-0005-0000-0000-00007B220000}"/>
    <cellStyle name="Input 2 5 7 2 2" xfId="7898" xr:uid="{00000000-0005-0000-0000-00007C220000}"/>
    <cellStyle name="Input 2 5 7 2 2 2" xfId="23735" xr:uid="{00000000-0005-0000-0000-00007D220000}"/>
    <cellStyle name="Input 2 5 7 2 3" xfId="14180" xr:uid="{00000000-0005-0000-0000-00007E220000}"/>
    <cellStyle name="Input 2 5 7 2 3 2" xfId="29012" xr:uid="{00000000-0005-0000-0000-00007F220000}"/>
    <cellStyle name="Input 2 5 7 2 4" xfId="21382" xr:uid="{00000000-0005-0000-0000-000080220000}"/>
    <cellStyle name="Input 2 5 7 3" xfId="5185" xr:uid="{00000000-0005-0000-0000-000081220000}"/>
    <cellStyle name="Input 2 5 7 3 2" xfId="9224" xr:uid="{00000000-0005-0000-0000-000082220000}"/>
    <cellStyle name="Input 2 5 7 3 2 2" xfId="24562" xr:uid="{00000000-0005-0000-0000-000083220000}"/>
    <cellStyle name="Input 2 5 7 3 3" xfId="15503" xr:uid="{00000000-0005-0000-0000-000084220000}"/>
    <cellStyle name="Input 2 5 7 3 3 2" xfId="30335" xr:uid="{00000000-0005-0000-0000-000085220000}"/>
    <cellStyle name="Input 2 5 7 3 4" xfId="22069" xr:uid="{00000000-0005-0000-0000-000086220000}"/>
    <cellStyle name="Input 2 5 7 4" xfId="4215" xr:uid="{00000000-0005-0000-0000-000087220000}"/>
    <cellStyle name="Input 2 5 7 4 2" xfId="8256" xr:uid="{00000000-0005-0000-0000-000088220000}"/>
    <cellStyle name="Input 2 5 7 4 2 2" xfId="23951" xr:uid="{00000000-0005-0000-0000-000089220000}"/>
    <cellStyle name="Input 2 5 7 4 3" xfId="14547" xr:uid="{00000000-0005-0000-0000-00008A220000}"/>
    <cellStyle name="Input 2 5 7 4 3 2" xfId="29379" xr:uid="{00000000-0005-0000-0000-00008B220000}"/>
    <cellStyle name="Input 2 5 7 4 4" xfId="21576" xr:uid="{00000000-0005-0000-0000-00008C220000}"/>
    <cellStyle name="Input 2 5 7 5" xfId="6331" xr:uid="{00000000-0005-0000-0000-00008D220000}"/>
    <cellStyle name="Input 2 5 7 5 2" xfId="22733" xr:uid="{00000000-0005-0000-0000-00008E220000}"/>
    <cellStyle name="Input 2 5 7 6" xfId="12585" xr:uid="{00000000-0005-0000-0000-00008F220000}"/>
    <cellStyle name="Input 2 5 7 6 2" xfId="27417" xr:uid="{00000000-0005-0000-0000-000090220000}"/>
    <cellStyle name="Input 2 5 7 7" xfId="20412" xr:uid="{00000000-0005-0000-0000-000091220000}"/>
    <cellStyle name="Input 2 5 8" xfId="4275" xr:uid="{00000000-0005-0000-0000-000092220000}"/>
    <cellStyle name="Input 2 5 8 2" xfId="8314" xr:uid="{00000000-0005-0000-0000-000093220000}"/>
    <cellStyle name="Input 2 5 8 2 2" xfId="24008" xr:uid="{00000000-0005-0000-0000-000094220000}"/>
    <cellStyle name="Input 2 5 8 3" xfId="14607" xr:uid="{00000000-0005-0000-0000-000095220000}"/>
    <cellStyle name="Input 2 5 8 3 2" xfId="29439" xr:uid="{00000000-0005-0000-0000-000096220000}"/>
    <cellStyle name="Input 2 5 8 4" xfId="21607" xr:uid="{00000000-0005-0000-0000-000097220000}"/>
    <cellStyle name="Input 2 5 9" xfId="3686" xr:uid="{00000000-0005-0000-0000-000098220000}"/>
    <cellStyle name="Input 2 5 9 2" xfId="7743" xr:uid="{00000000-0005-0000-0000-000099220000}"/>
    <cellStyle name="Input 2 5 9 2 2" xfId="23632" xr:uid="{00000000-0005-0000-0000-00009A220000}"/>
    <cellStyle name="Input 2 5 9 3" xfId="14021" xr:uid="{00000000-0005-0000-0000-00009B220000}"/>
    <cellStyle name="Input 2 5 9 3 2" xfId="28853" xr:uid="{00000000-0005-0000-0000-00009C220000}"/>
    <cellStyle name="Input 2 5 9 4" xfId="21293" xr:uid="{00000000-0005-0000-0000-00009D220000}"/>
    <cellStyle name="Input 2 6" xfId="1117" xr:uid="{00000000-0005-0000-0000-00009E220000}"/>
    <cellStyle name="Input 2 6 10" xfId="2288" xr:uid="{00000000-0005-0000-0000-00009F220000}"/>
    <cellStyle name="Input 2 6 10 2" xfId="6400" xr:uid="{00000000-0005-0000-0000-0000A0220000}"/>
    <cellStyle name="Input 2 6 10 2 2" xfId="22802" xr:uid="{00000000-0005-0000-0000-0000A1220000}"/>
    <cellStyle name="Input 2 6 10 3" xfId="12628" xr:uid="{00000000-0005-0000-0000-0000A2220000}"/>
    <cellStyle name="Input 2 6 10 3 2" xfId="27460" xr:uid="{00000000-0005-0000-0000-0000A3220000}"/>
    <cellStyle name="Input 2 6 10 4" xfId="20454" xr:uid="{00000000-0005-0000-0000-0000A4220000}"/>
    <cellStyle name="Input 2 6 11" xfId="5254" xr:uid="{00000000-0005-0000-0000-0000A5220000}"/>
    <cellStyle name="Input 2 6 11 2" xfId="15570" xr:uid="{00000000-0005-0000-0000-0000A6220000}"/>
    <cellStyle name="Input 2 6 11 2 2" xfId="30402" xr:uid="{00000000-0005-0000-0000-0000A7220000}"/>
    <cellStyle name="Input 2 6 11 3" xfId="22111" xr:uid="{00000000-0005-0000-0000-0000A8220000}"/>
    <cellStyle name="Input 2 6 12" xfId="5412" xr:uid="{00000000-0005-0000-0000-0000A9220000}"/>
    <cellStyle name="Input 2 6 12 2" xfId="15648" xr:uid="{00000000-0005-0000-0000-0000AA220000}"/>
    <cellStyle name="Input 2 6 12 2 2" xfId="30480" xr:uid="{00000000-0005-0000-0000-0000AB220000}"/>
    <cellStyle name="Input 2 6 12 3" xfId="22173" xr:uid="{00000000-0005-0000-0000-0000AC220000}"/>
    <cellStyle name="Input 2 6 13" xfId="9379" xr:uid="{00000000-0005-0000-0000-0000AD220000}"/>
    <cellStyle name="Input 2 6 13 2" xfId="24685" xr:uid="{00000000-0005-0000-0000-0000AE220000}"/>
    <cellStyle name="Input 2 6 14" xfId="5368" xr:uid="{00000000-0005-0000-0000-0000AF220000}"/>
    <cellStyle name="Input 2 6 14 2" xfId="18242" xr:uid="{00000000-0005-0000-0000-0000B0220000}"/>
    <cellStyle name="Input 2 6 2" xfId="1324" xr:uid="{00000000-0005-0000-0000-0000B1220000}"/>
    <cellStyle name="Input 2 6 2 2" xfId="1828" xr:uid="{00000000-0005-0000-0000-0000B2220000}"/>
    <cellStyle name="Input 2 6 2 2 2" xfId="3798" xr:uid="{00000000-0005-0000-0000-0000B3220000}"/>
    <cellStyle name="Input 2 6 2 2 2 2" xfId="7853" xr:uid="{00000000-0005-0000-0000-0000B4220000}"/>
    <cellStyle name="Input 2 6 2 2 2 2 2" xfId="23707" xr:uid="{00000000-0005-0000-0000-0000B5220000}"/>
    <cellStyle name="Input 2 6 2 2 2 3" xfId="14133" xr:uid="{00000000-0005-0000-0000-0000B6220000}"/>
    <cellStyle name="Input 2 6 2 2 2 3 2" xfId="28965" xr:uid="{00000000-0005-0000-0000-0000B7220000}"/>
    <cellStyle name="Input 2 6 2 2 2 4" xfId="21358" xr:uid="{00000000-0005-0000-0000-0000B8220000}"/>
    <cellStyle name="Input 2 6 2 2 3" xfId="4806" xr:uid="{00000000-0005-0000-0000-0000B9220000}"/>
    <cellStyle name="Input 2 6 2 2 3 2" xfId="8845" xr:uid="{00000000-0005-0000-0000-0000BA220000}"/>
    <cellStyle name="Input 2 6 2 2 3 2 2" xfId="24343" xr:uid="{00000000-0005-0000-0000-0000BB220000}"/>
    <cellStyle name="Input 2 6 2 2 3 3" xfId="15130" xr:uid="{00000000-0005-0000-0000-0000BC220000}"/>
    <cellStyle name="Input 2 6 2 2 3 3 2" xfId="29962" xr:uid="{00000000-0005-0000-0000-0000BD220000}"/>
    <cellStyle name="Input 2 6 2 2 3 4" xfId="21881" xr:uid="{00000000-0005-0000-0000-0000BE220000}"/>
    <cellStyle name="Input 2 6 2 2 4" xfId="2796" xr:uid="{00000000-0005-0000-0000-0000BF220000}"/>
    <cellStyle name="Input 2 6 2 2 4 2" xfId="6887" xr:uid="{00000000-0005-0000-0000-0000C0220000}"/>
    <cellStyle name="Input 2 6 2 2 4 2 2" xfId="23094" xr:uid="{00000000-0005-0000-0000-0000C1220000}"/>
    <cellStyle name="Input 2 6 2 2 4 3" xfId="13134" xr:uid="{00000000-0005-0000-0000-0000C2220000}"/>
    <cellStyle name="Input 2 6 2 2 4 3 2" xfId="27966" xr:uid="{00000000-0005-0000-0000-0000C3220000}"/>
    <cellStyle name="Input 2 6 2 2 4 4" xfId="20754" xr:uid="{00000000-0005-0000-0000-0000C4220000}"/>
    <cellStyle name="Input 2 6 2 2 5" xfId="5960" xr:uid="{00000000-0005-0000-0000-0000C5220000}"/>
    <cellStyle name="Input 2 6 2 2 5 2" xfId="16152" xr:uid="{00000000-0005-0000-0000-0000C6220000}"/>
    <cellStyle name="Input 2 6 2 2 5 2 2" xfId="30984" xr:uid="{00000000-0005-0000-0000-0000C7220000}"/>
    <cellStyle name="Input 2 6 2 2 5 3" xfId="22525" xr:uid="{00000000-0005-0000-0000-0000C8220000}"/>
    <cellStyle name="Input 2 6 2 2 6" xfId="12222" xr:uid="{00000000-0005-0000-0000-0000C9220000}"/>
    <cellStyle name="Input 2 6 2 2 6 2" xfId="27054" xr:uid="{00000000-0005-0000-0000-0000CA220000}"/>
    <cellStyle name="Input 2 6 2 2 7" xfId="9818" xr:uid="{00000000-0005-0000-0000-0000CB220000}"/>
    <cellStyle name="Input 2 6 2 2 7 2" xfId="20069" xr:uid="{00000000-0005-0000-0000-0000CC220000}"/>
    <cellStyle name="Input 2 6 2 3" xfId="3752" xr:uid="{00000000-0005-0000-0000-0000CD220000}"/>
    <cellStyle name="Input 2 6 2 3 2" xfId="7808" xr:uid="{00000000-0005-0000-0000-0000CE220000}"/>
    <cellStyle name="Input 2 6 2 3 2 2" xfId="23677" xr:uid="{00000000-0005-0000-0000-0000CF220000}"/>
    <cellStyle name="Input 2 6 2 3 3" xfId="14087" xr:uid="{00000000-0005-0000-0000-0000D0220000}"/>
    <cellStyle name="Input 2 6 2 3 3 2" xfId="28919" xr:uid="{00000000-0005-0000-0000-0000D1220000}"/>
    <cellStyle name="Input 2 6 2 3 4" xfId="21333" xr:uid="{00000000-0005-0000-0000-0000D2220000}"/>
    <cellStyle name="Input 2 6 2 4" xfId="4386" xr:uid="{00000000-0005-0000-0000-0000D3220000}"/>
    <cellStyle name="Input 2 6 2 4 2" xfId="8425" xr:uid="{00000000-0005-0000-0000-0000D4220000}"/>
    <cellStyle name="Input 2 6 2 4 2 2" xfId="24083" xr:uid="{00000000-0005-0000-0000-0000D5220000}"/>
    <cellStyle name="Input 2 6 2 4 3" xfId="14715" xr:uid="{00000000-0005-0000-0000-0000D6220000}"/>
    <cellStyle name="Input 2 6 2 4 3 2" xfId="29547" xr:uid="{00000000-0005-0000-0000-0000D7220000}"/>
    <cellStyle name="Input 2 6 2 4 4" xfId="21651" xr:uid="{00000000-0005-0000-0000-0000D8220000}"/>
    <cellStyle name="Input 2 6 2 5" xfId="2376" xr:uid="{00000000-0005-0000-0000-0000D9220000}"/>
    <cellStyle name="Input 2 6 2 5 2" xfId="6488" xr:uid="{00000000-0005-0000-0000-0000DA220000}"/>
    <cellStyle name="Input 2 6 2 5 2 2" xfId="22858" xr:uid="{00000000-0005-0000-0000-0000DB220000}"/>
    <cellStyle name="Input 2 6 2 5 3" xfId="12715" xr:uid="{00000000-0005-0000-0000-0000DC220000}"/>
    <cellStyle name="Input 2 6 2 5 3 2" xfId="27547" xr:uid="{00000000-0005-0000-0000-0000DD220000}"/>
    <cellStyle name="Input 2 6 2 5 4" xfId="20500" xr:uid="{00000000-0005-0000-0000-0000DE220000}"/>
    <cellStyle name="Input 2 6 2 6" xfId="5501" xr:uid="{00000000-0005-0000-0000-0000DF220000}"/>
    <cellStyle name="Input 2 6 2 6 2" xfId="15736" xr:uid="{00000000-0005-0000-0000-0000E0220000}"/>
    <cellStyle name="Input 2 6 2 6 2 2" xfId="30568" xr:uid="{00000000-0005-0000-0000-0000E1220000}"/>
    <cellStyle name="Input 2 6 2 6 3" xfId="22229" xr:uid="{00000000-0005-0000-0000-0000E2220000}"/>
    <cellStyle name="Input 2 6 2 7" xfId="11751" xr:uid="{00000000-0005-0000-0000-0000E3220000}"/>
    <cellStyle name="Input 2 6 2 7 2" xfId="26583" xr:uid="{00000000-0005-0000-0000-0000E4220000}"/>
    <cellStyle name="Input 2 6 2 8" xfId="9422" xr:uid="{00000000-0005-0000-0000-0000E5220000}"/>
    <cellStyle name="Input 2 6 2 8 2" xfId="19726" xr:uid="{00000000-0005-0000-0000-0000E6220000}"/>
    <cellStyle name="Input 2 6 3" xfId="1482" xr:uid="{00000000-0005-0000-0000-0000E7220000}"/>
    <cellStyle name="Input 2 6 3 2" xfId="1983" xr:uid="{00000000-0005-0000-0000-0000E8220000}"/>
    <cellStyle name="Input 2 6 3 2 2" xfId="3880" xr:uid="{00000000-0005-0000-0000-0000E9220000}"/>
    <cellStyle name="Input 2 6 3 2 2 2" xfId="7931" xr:uid="{00000000-0005-0000-0000-0000EA220000}"/>
    <cellStyle name="Input 2 6 3 2 2 2 2" xfId="23757" xr:uid="{00000000-0005-0000-0000-0000EB220000}"/>
    <cellStyle name="Input 2 6 3 2 2 3" xfId="14215" xr:uid="{00000000-0005-0000-0000-0000EC220000}"/>
    <cellStyle name="Input 2 6 3 2 2 3 2" xfId="29047" xr:uid="{00000000-0005-0000-0000-0000ED220000}"/>
    <cellStyle name="Input 2 6 3 2 2 4" xfId="21400" xr:uid="{00000000-0005-0000-0000-0000EE220000}"/>
    <cellStyle name="Input 2 6 3 2 3" xfId="4947" xr:uid="{00000000-0005-0000-0000-0000EF220000}"/>
    <cellStyle name="Input 2 6 3 2 3 2" xfId="8986" xr:uid="{00000000-0005-0000-0000-0000F0220000}"/>
    <cellStyle name="Input 2 6 3 2 3 2 2" xfId="24452" xr:uid="{00000000-0005-0000-0000-0000F1220000}"/>
    <cellStyle name="Input 2 6 3 2 3 3" xfId="15269" xr:uid="{00000000-0005-0000-0000-0000F2220000}"/>
    <cellStyle name="Input 2 6 3 2 3 3 2" xfId="30101" xr:uid="{00000000-0005-0000-0000-0000F3220000}"/>
    <cellStyle name="Input 2 6 3 2 3 4" xfId="21982" xr:uid="{00000000-0005-0000-0000-0000F4220000}"/>
    <cellStyle name="Input 2 6 3 2 4" xfId="2937" xr:uid="{00000000-0005-0000-0000-0000F5220000}"/>
    <cellStyle name="Input 2 6 3 2 4 2" xfId="7021" xr:uid="{00000000-0005-0000-0000-0000F6220000}"/>
    <cellStyle name="Input 2 6 3 2 4 2 2" xfId="23195" xr:uid="{00000000-0005-0000-0000-0000F7220000}"/>
    <cellStyle name="Input 2 6 3 2 4 3" xfId="13275" xr:uid="{00000000-0005-0000-0000-0000F8220000}"/>
    <cellStyle name="Input 2 6 3 2 4 3 2" xfId="28107" xr:uid="{00000000-0005-0000-0000-0000F9220000}"/>
    <cellStyle name="Input 2 6 3 2 4 4" xfId="20863" xr:uid="{00000000-0005-0000-0000-0000FA220000}"/>
    <cellStyle name="Input 2 6 3 2 5" xfId="6113" xr:uid="{00000000-0005-0000-0000-0000FB220000}"/>
    <cellStyle name="Input 2 6 3 2 5 2" xfId="16300" xr:uid="{00000000-0005-0000-0000-0000FC220000}"/>
    <cellStyle name="Input 2 6 3 2 5 2 2" xfId="31132" xr:uid="{00000000-0005-0000-0000-0000FD220000}"/>
    <cellStyle name="Input 2 6 3 2 5 3" xfId="22646" xr:uid="{00000000-0005-0000-0000-0000FE220000}"/>
    <cellStyle name="Input 2 6 3 2 6" xfId="12370" xr:uid="{00000000-0005-0000-0000-0000FF220000}"/>
    <cellStyle name="Input 2 6 3 2 6 2" xfId="27202" xr:uid="{00000000-0005-0000-0000-000000230000}"/>
    <cellStyle name="Input 2 6 3 2 7" xfId="9952" xr:uid="{00000000-0005-0000-0000-000001230000}"/>
    <cellStyle name="Input 2 6 3 2 7 2" xfId="20154" xr:uid="{00000000-0005-0000-0000-000002230000}"/>
    <cellStyle name="Input 2 6 3 3" xfId="3922" xr:uid="{00000000-0005-0000-0000-000003230000}"/>
    <cellStyle name="Input 2 6 3 3 2" xfId="7973" xr:uid="{00000000-0005-0000-0000-000004230000}"/>
    <cellStyle name="Input 2 6 3 3 2 2" xfId="23780" xr:uid="{00000000-0005-0000-0000-000005230000}"/>
    <cellStyle name="Input 2 6 3 3 3" xfId="14255" xr:uid="{00000000-0005-0000-0000-000006230000}"/>
    <cellStyle name="Input 2 6 3 3 3 2" xfId="29087" xr:uid="{00000000-0005-0000-0000-000007230000}"/>
    <cellStyle name="Input 2 6 3 3 4" xfId="21421" xr:uid="{00000000-0005-0000-0000-000008230000}"/>
    <cellStyle name="Input 2 6 3 4" xfId="4527" xr:uid="{00000000-0005-0000-0000-000009230000}"/>
    <cellStyle name="Input 2 6 3 4 2" xfId="8566" xr:uid="{00000000-0005-0000-0000-00000A230000}"/>
    <cellStyle name="Input 2 6 3 4 2 2" xfId="24192" xr:uid="{00000000-0005-0000-0000-00000B230000}"/>
    <cellStyle name="Input 2 6 3 4 3" xfId="14854" xr:uid="{00000000-0005-0000-0000-00000C230000}"/>
    <cellStyle name="Input 2 6 3 4 3 2" xfId="29686" xr:uid="{00000000-0005-0000-0000-00000D230000}"/>
    <cellStyle name="Input 2 6 3 4 4" xfId="21752" xr:uid="{00000000-0005-0000-0000-00000E230000}"/>
    <cellStyle name="Input 2 6 3 5" xfId="2517" xr:uid="{00000000-0005-0000-0000-00000F230000}"/>
    <cellStyle name="Input 2 6 3 5 2" xfId="6623" xr:uid="{00000000-0005-0000-0000-000010230000}"/>
    <cellStyle name="Input 2 6 3 5 2 2" xfId="22961" xr:uid="{00000000-0005-0000-0000-000011230000}"/>
    <cellStyle name="Input 2 6 3 5 3" xfId="12855" xr:uid="{00000000-0005-0000-0000-000012230000}"/>
    <cellStyle name="Input 2 6 3 5 3 2" xfId="27687" xr:uid="{00000000-0005-0000-0000-000013230000}"/>
    <cellStyle name="Input 2 6 3 5 4" xfId="20607" xr:uid="{00000000-0005-0000-0000-000014230000}"/>
    <cellStyle name="Input 2 6 3 6" xfId="5640" xr:uid="{00000000-0005-0000-0000-000015230000}"/>
    <cellStyle name="Input 2 6 3 6 2" xfId="15875" xr:uid="{00000000-0005-0000-0000-000016230000}"/>
    <cellStyle name="Input 2 6 3 6 2 2" xfId="30707" xr:uid="{00000000-0005-0000-0000-000017230000}"/>
    <cellStyle name="Input 2 6 3 6 3" xfId="22336" xr:uid="{00000000-0005-0000-0000-000018230000}"/>
    <cellStyle name="Input 2 6 3 7" xfId="11899" xr:uid="{00000000-0005-0000-0000-000019230000}"/>
    <cellStyle name="Input 2 6 3 7 2" xfId="26731" xr:uid="{00000000-0005-0000-0000-00001A230000}"/>
    <cellStyle name="Input 2 6 3 8" xfId="9557" xr:uid="{00000000-0005-0000-0000-00001B230000}"/>
    <cellStyle name="Input 2 6 3 8 2" xfId="19859" xr:uid="{00000000-0005-0000-0000-00001C230000}"/>
    <cellStyle name="Input 2 6 4" xfId="1397" xr:uid="{00000000-0005-0000-0000-00001D230000}"/>
    <cellStyle name="Input 2 6 4 2" xfId="1899" xr:uid="{00000000-0005-0000-0000-00001E230000}"/>
    <cellStyle name="Input 2 6 4 2 2" xfId="3655" xr:uid="{00000000-0005-0000-0000-00001F230000}"/>
    <cellStyle name="Input 2 6 4 2 2 2" xfId="7714" xr:uid="{00000000-0005-0000-0000-000020230000}"/>
    <cellStyle name="Input 2 6 4 2 2 2 2" xfId="23611" xr:uid="{00000000-0005-0000-0000-000021230000}"/>
    <cellStyle name="Input 2 6 4 2 2 3" xfId="13990" xr:uid="{00000000-0005-0000-0000-000022230000}"/>
    <cellStyle name="Input 2 6 4 2 2 3 2" xfId="28822" xr:uid="{00000000-0005-0000-0000-000023230000}"/>
    <cellStyle name="Input 2 6 4 2 2 4" xfId="21276" xr:uid="{00000000-0005-0000-0000-000024230000}"/>
    <cellStyle name="Input 2 6 4 2 3" xfId="4877" xr:uid="{00000000-0005-0000-0000-000025230000}"/>
    <cellStyle name="Input 2 6 4 2 3 2" xfId="8916" xr:uid="{00000000-0005-0000-0000-000026230000}"/>
    <cellStyle name="Input 2 6 4 2 3 2 2" xfId="24382" xr:uid="{00000000-0005-0000-0000-000027230000}"/>
    <cellStyle name="Input 2 6 4 2 3 3" xfId="15200" xr:uid="{00000000-0005-0000-0000-000028230000}"/>
    <cellStyle name="Input 2 6 4 2 3 3 2" xfId="30032" xr:uid="{00000000-0005-0000-0000-000029230000}"/>
    <cellStyle name="Input 2 6 4 2 3 4" xfId="21914" xr:uid="{00000000-0005-0000-0000-00002A230000}"/>
    <cellStyle name="Input 2 6 4 2 4" xfId="2867" xr:uid="{00000000-0005-0000-0000-00002B230000}"/>
    <cellStyle name="Input 2 6 4 2 4 2" xfId="6952" xr:uid="{00000000-0005-0000-0000-00002C230000}"/>
    <cellStyle name="Input 2 6 4 2 4 2 2" xfId="23127" xr:uid="{00000000-0005-0000-0000-00002D230000}"/>
    <cellStyle name="Input 2 6 4 2 4 3" xfId="13205" xr:uid="{00000000-0005-0000-0000-00002E230000}"/>
    <cellStyle name="Input 2 6 4 2 4 3 2" xfId="28037" xr:uid="{00000000-0005-0000-0000-00002F230000}"/>
    <cellStyle name="Input 2 6 4 2 4 4" xfId="20793" xr:uid="{00000000-0005-0000-0000-000030230000}"/>
    <cellStyle name="Input 2 6 4 2 5" xfId="6030" xr:uid="{00000000-0005-0000-0000-000031230000}"/>
    <cellStyle name="Input 2 6 4 2 5 2" xfId="16217" xr:uid="{00000000-0005-0000-0000-000032230000}"/>
    <cellStyle name="Input 2 6 4 2 5 2 2" xfId="31049" xr:uid="{00000000-0005-0000-0000-000033230000}"/>
    <cellStyle name="Input 2 6 4 2 5 3" xfId="22563" xr:uid="{00000000-0005-0000-0000-000034230000}"/>
    <cellStyle name="Input 2 6 4 2 6" xfId="12287" xr:uid="{00000000-0005-0000-0000-000035230000}"/>
    <cellStyle name="Input 2 6 4 2 6 2" xfId="27119" xr:uid="{00000000-0005-0000-0000-000036230000}"/>
    <cellStyle name="Input 2 6 4 2 7" xfId="9883" xr:uid="{00000000-0005-0000-0000-000037230000}"/>
    <cellStyle name="Input 2 6 4 2 7 2" xfId="20087" xr:uid="{00000000-0005-0000-0000-000038230000}"/>
    <cellStyle name="Input 2 6 4 3" xfId="3702" xr:uid="{00000000-0005-0000-0000-000039230000}"/>
    <cellStyle name="Input 2 6 4 3 2" xfId="7758" xr:uid="{00000000-0005-0000-0000-00003A230000}"/>
    <cellStyle name="Input 2 6 4 3 2 2" xfId="23641" xr:uid="{00000000-0005-0000-0000-00003B230000}"/>
    <cellStyle name="Input 2 6 4 3 3" xfId="14037" xr:uid="{00000000-0005-0000-0000-00003C230000}"/>
    <cellStyle name="Input 2 6 4 3 3 2" xfId="28869" xr:uid="{00000000-0005-0000-0000-00003D230000}"/>
    <cellStyle name="Input 2 6 4 3 4" xfId="21301" xr:uid="{00000000-0005-0000-0000-00003E230000}"/>
    <cellStyle name="Input 2 6 4 4" xfId="4457" xr:uid="{00000000-0005-0000-0000-00003F230000}"/>
    <cellStyle name="Input 2 6 4 4 2" xfId="8496" xr:uid="{00000000-0005-0000-0000-000040230000}"/>
    <cellStyle name="Input 2 6 4 4 2 2" xfId="24122" xr:uid="{00000000-0005-0000-0000-000041230000}"/>
    <cellStyle name="Input 2 6 4 4 3" xfId="14785" xr:uid="{00000000-0005-0000-0000-000042230000}"/>
    <cellStyle name="Input 2 6 4 4 3 2" xfId="29617" xr:uid="{00000000-0005-0000-0000-000043230000}"/>
    <cellStyle name="Input 2 6 4 4 4" xfId="21684" xr:uid="{00000000-0005-0000-0000-000044230000}"/>
    <cellStyle name="Input 2 6 4 5" xfId="2447" xr:uid="{00000000-0005-0000-0000-000045230000}"/>
    <cellStyle name="Input 2 6 4 5 2" xfId="6553" xr:uid="{00000000-0005-0000-0000-000046230000}"/>
    <cellStyle name="Input 2 6 4 5 2 2" xfId="22891" xr:uid="{00000000-0005-0000-0000-000047230000}"/>
    <cellStyle name="Input 2 6 4 5 3" xfId="12786" xr:uid="{00000000-0005-0000-0000-000048230000}"/>
    <cellStyle name="Input 2 6 4 5 3 2" xfId="27618" xr:uid="{00000000-0005-0000-0000-000049230000}"/>
    <cellStyle name="Input 2 6 4 5 4" xfId="20539" xr:uid="{00000000-0005-0000-0000-00004A230000}"/>
    <cellStyle name="Input 2 6 4 6" xfId="5571" xr:uid="{00000000-0005-0000-0000-00004B230000}"/>
    <cellStyle name="Input 2 6 4 6 2" xfId="15806" xr:uid="{00000000-0005-0000-0000-00004C230000}"/>
    <cellStyle name="Input 2 6 4 6 2 2" xfId="30638" xr:uid="{00000000-0005-0000-0000-00004D230000}"/>
    <cellStyle name="Input 2 6 4 6 3" xfId="22267" xr:uid="{00000000-0005-0000-0000-00004E230000}"/>
    <cellStyle name="Input 2 6 4 7" xfId="11816" xr:uid="{00000000-0005-0000-0000-00004F230000}"/>
    <cellStyle name="Input 2 6 4 7 2" xfId="26648" xr:uid="{00000000-0005-0000-0000-000050230000}"/>
    <cellStyle name="Input 2 6 4 8" xfId="9488" xr:uid="{00000000-0005-0000-0000-000051230000}"/>
    <cellStyle name="Input 2 6 4 8 2" xfId="19791" xr:uid="{00000000-0005-0000-0000-000052230000}"/>
    <cellStyle name="Input 2 6 5" xfId="1472" xr:uid="{00000000-0005-0000-0000-000053230000}"/>
    <cellStyle name="Input 2 6 5 2" xfId="1973" xr:uid="{00000000-0005-0000-0000-000054230000}"/>
    <cellStyle name="Input 2 6 5 2 2" xfId="4056" xr:uid="{00000000-0005-0000-0000-000055230000}"/>
    <cellStyle name="Input 2 6 5 2 2 2" xfId="8103" xr:uid="{00000000-0005-0000-0000-000056230000}"/>
    <cellStyle name="Input 2 6 5 2 2 2 2" xfId="23865" xr:uid="{00000000-0005-0000-0000-000057230000}"/>
    <cellStyle name="Input 2 6 5 2 2 3" xfId="14388" xr:uid="{00000000-0005-0000-0000-000058230000}"/>
    <cellStyle name="Input 2 6 5 2 2 3 2" xfId="29220" xr:uid="{00000000-0005-0000-0000-000059230000}"/>
    <cellStyle name="Input 2 6 5 2 2 4" xfId="21499" xr:uid="{00000000-0005-0000-0000-00005A230000}"/>
    <cellStyle name="Input 2 6 5 2 3" xfId="4937" xr:uid="{00000000-0005-0000-0000-00005B230000}"/>
    <cellStyle name="Input 2 6 5 2 3 2" xfId="8976" xr:uid="{00000000-0005-0000-0000-00005C230000}"/>
    <cellStyle name="Input 2 6 5 2 3 2 2" xfId="24442" xr:uid="{00000000-0005-0000-0000-00005D230000}"/>
    <cellStyle name="Input 2 6 5 2 3 3" xfId="15259" xr:uid="{00000000-0005-0000-0000-00005E230000}"/>
    <cellStyle name="Input 2 6 5 2 3 3 2" xfId="30091" xr:uid="{00000000-0005-0000-0000-00005F230000}"/>
    <cellStyle name="Input 2 6 5 2 3 4" xfId="21972" xr:uid="{00000000-0005-0000-0000-000060230000}"/>
    <cellStyle name="Input 2 6 5 2 4" xfId="2927" xr:uid="{00000000-0005-0000-0000-000061230000}"/>
    <cellStyle name="Input 2 6 5 2 4 2" xfId="7011" xr:uid="{00000000-0005-0000-0000-000062230000}"/>
    <cellStyle name="Input 2 6 5 2 4 2 2" xfId="23185" xr:uid="{00000000-0005-0000-0000-000063230000}"/>
    <cellStyle name="Input 2 6 5 2 4 3" xfId="13265" xr:uid="{00000000-0005-0000-0000-000064230000}"/>
    <cellStyle name="Input 2 6 5 2 4 3 2" xfId="28097" xr:uid="{00000000-0005-0000-0000-000065230000}"/>
    <cellStyle name="Input 2 6 5 2 4 4" xfId="20853" xr:uid="{00000000-0005-0000-0000-000066230000}"/>
    <cellStyle name="Input 2 6 5 2 5" xfId="6103" xr:uid="{00000000-0005-0000-0000-000067230000}"/>
    <cellStyle name="Input 2 6 5 2 5 2" xfId="16290" xr:uid="{00000000-0005-0000-0000-000068230000}"/>
    <cellStyle name="Input 2 6 5 2 5 2 2" xfId="31122" xr:uid="{00000000-0005-0000-0000-000069230000}"/>
    <cellStyle name="Input 2 6 5 2 5 3" xfId="22636" xr:uid="{00000000-0005-0000-0000-00006A230000}"/>
    <cellStyle name="Input 2 6 5 2 6" xfId="12360" xr:uid="{00000000-0005-0000-0000-00006B230000}"/>
    <cellStyle name="Input 2 6 5 2 6 2" xfId="27192" xr:uid="{00000000-0005-0000-0000-00006C230000}"/>
    <cellStyle name="Input 2 6 5 2 7" xfId="9942" xr:uid="{00000000-0005-0000-0000-00006D230000}"/>
    <cellStyle name="Input 2 6 5 2 7 2" xfId="20144" xr:uid="{00000000-0005-0000-0000-00006E230000}"/>
    <cellStyle name="Input 2 6 5 3" xfId="3234" xr:uid="{00000000-0005-0000-0000-00006F230000}"/>
    <cellStyle name="Input 2 6 5 3 2" xfId="7298" xr:uid="{00000000-0005-0000-0000-000070230000}"/>
    <cellStyle name="Input 2 6 5 3 2 2" xfId="23338" xr:uid="{00000000-0005-0000-0000-000071230000}"/>
    <cellStyle name="Input 2 6 5 3 3" xfId="13571" xr:uid="{00000000-0005-0000-0000-000072230000}"/>
    <cellStyle name="Input 2 6 5 3 3 2" xfId="28403" xr:uid="{00000000-0005-0000-0000-000073230000}"/>
    <cellStyle name="Input 2 6 5 3 4" xfId="21026" xr:uid="{00000000-0005-0000-0000-000074230000}"/>
    <cellStyle name="Input 2 6 5 4" xfId="4517" xr:uid="{00000000-0005-0000-0000-000075230000}"/>
    <cellStyle name="Input 2 6 5 4 2" xfId="8556" xr:uid="{00000000-0005-0000-0000-000076230000}"/>
    <cellStyle name="Input 2 6 5 4 2 2" xfId="24182" xr:uid="{00000000-0005-0000-0000-000077230000}"/>
    <cellStyle name="Input 2 6 5 4 3" xfId="14844" xr:uid="{00000000-0005-0000-0000-000078230000}"/>
    <cellStyle name="Input 2 6 5 4 3 2" xfId="29676" xr:uid="{00000000-0005-0000-0000-000079230000}"/>
    <cellStyle name="Input 2 6 5 4 4" xfId="21742" xr:uid="{00000000-0005-0000-0000-00007A230000}"/>
    <cellStyle name="Input 2 6 5 5" xfId="2507" xr:uid="{00000000-0005-0000-0000-00007B230000}"/>
    <cellStyle name="Input 2 6 5 5 2" xfId="6613" xr:uid="{00000000-0005-0000-0000-00007C230000}"/>
    <cellStyle name="Input 2 6 5 5 2 2" xfId="22951" xr:uid="{00000000-0005-0000-0000-00007D230000}"/>
    <cellStyle name="Input 2 6 5 5 3" xfId="12845" xr:uid="{00000000-0005-0000-0000-00007E230000}"/>
    <cellStyle name="Input 2 6 5 5 3 2" xfId="27677" xr:uid="{00000000-0005-0000-0000-00007F230000}"/>
    <cellStyle name="Input 2 6 5 5 4" xfId="20597" xr:uid="{00000000-0005-0000-0000-000080230000}"/>
    <cellStyle name="Input 2 6 5 6" xfId="5630" xr:uid="{00000000-0005-0000-0000-000081230000}"/>
    <cellStyle name="Input 2 6 5 6 2" xfId="15865" xr:uid="{00000000-0005-0000-0000-000082230000}"/>
    <cellStyle name="Input 2 6 5 6 2 2" xfId="30697" xr:uid="{00000000-0005-0000-0000-000083230000}"/>
    <cellStyle name="Input 2 6 5 6 3" xfId="22326" xr:uid="{00000000-0005-0000-0000-000084230000}"/>
    <cellStyle name="Input 2 6 5 7" xfId="11889" xr:uid="{00000000-0005-0000-0000-000085230000}"/>
    <cellStyle name="Input 2 6 5 7 2" xfId="26721" xr:uid="{00000000-0005-0000-0000-000086230000}"/>
    <cellStyle name="Input 2 6 5 8" xfId="9547" xr:uid="{00000000-0005-0000-0000-000087230000}"/>
    <cellStyle name="Input 2 6 5 8 2" xfId="19849" xr:uid="{00000000-0005-0000-0000-000088230000}"/>
    <cellStyle name="Input 2 6 6" xfId="1750" xr:uid="{00000000-0005-0000-0000-000089230000}"/>
    <cellStyle name="Input 2 6 6 2" xfId="3509" xr:uid="{00000000-0005-0000-0000-00008A230000}"/>
    <cellStyle name="Input 2 6 6 2 2" xfId="7571" xr:uid="{00000000-0005-0000-0000-00008B230000}"/>
    <cellStyle name="Input 2 6 6 2 2 2" xfId="23523" xr:uid="{00000000-0005-0000-0000-00008C230000}"/>
    <cellStyle name="Input 2 6 6 2 3" xfId="13846" xr:uid="{00000000-0005-0000-0000-00008D230000}"/>
    <cellStyle name="Input 2 6 6 2 3 2" xfId="28678" xr:uid="{00000000-0005-0000-0000-00008E230000}"/>
    <cellStyle name="Input 2 6 6 2 4" xfId="21198" xr:uid="{00000000-0005-0000-0000-00008F230000}"/>
    <cellStyle name="Input 2 6 6 3" xfId="4728" xr:uid="{00000000-0005-0000-0000-000090230000}"/>
    <cellStyle name="Input 2 6 6 3 2" xfId="8767" xr:uid="{00000000-0005-0000-0000-000091230000}"/>
    <cellStyle name="Input 2 6 6 3 2 2" xfId="24297" xr:uid="{00000000-0005-0000-0000-000092230000}"/>
    <cellStyle name="Input 2 6 6 3 3" xfId="15052" xr:uid="{00000000-0005-0000-0000-000093230000}"/>
    <cellStyle name="Input 2 6 6 3 3 2" xfId="29884" xr:uid="{00000000-0005-0000-0000-000094230000}"/>
    <cellStyle name="Input 2 6 6 3 4" xfId="21835" xr:uid="{00000000-0005-0000-0000-000095230000}"/>
    <cellStyle name="Input 2 6 6 4" xfId="2718" xr:uid="{00000000-0005-0000-0000-000096230000}"/>
    <cellStyle name="Input 2 6 6 4 2" xfId="6809" xr:uid="{00000000-0005-0000-0000-000097230000}"/>
    <cellStyle name="Input 2 6 6 4 2 2" xfId="23048" xr:uid="{00000000-0005-0000-0000-000098230000}"/>
    <cellStyle name="Input 2 6 6 4 3" xfId="13056" xr:uid="{00000000-0005-0000-0000-000099230000}"/>
    <cellStyle name="Input 2 6 6 4 3 2" xfId="27888" xr:uid="{00000000-0005-0000-0000-00009A230000}"/>
    <cellStyle name="Input 2 6 6 4 4" xfId="20708" xr:uid="{00000000-0005-0000-0000-00009B230000}"/>
    <cellStyle name="Input 2 6 6 5" xfId="5882" xr:uid="{00000000-0005-0000-0000-00009C230000}"/>
    <cellStyle name="Input 2 6 6 5 2" xfId="16074" xr:uid="{00000000-0005-0000-0000-00009D230000}"/>
    <cellStyle name="Input 2 6 6 5 2 2" xfId="30906" xr:uid="{00000000-0005-0000-0000-00009E230000}"/>
    <cellStyle name="Input 2 6 6 5 3" xfId="22479" xr:uid="{00000000-0005-0000-0000-00009F230000}"/>
    <cellStyle name="Input 2 6 6 6" xfId="12144" xr:uid="{00000000-0005-0000-0000-0000A0230000}"/>
    <cellStyle name="Input 2 6 6 6 2" xfId="26976" xr:uid="{00000000-0005-0000-0000-0000A1230000}"/>
    <cellStyle name="Input 2 6 6 7" xfId="9740" xr:uid="{00000000-0005-0000-0000-0000A2230000}"/>
    <cellStyle name="Input 2 6 6 7 2" xfId="20038" xr:uid="{00000000-0005-0000-0000-0000A3230000}"/>
    <cellStyle name="Input 2 6 7" xfId="2216" xr:uid="{00000000-0005-0000-0000-0000A4230000}"/>
    <cellStyle name="Input 2 6 7 2" xfId="3543" xr:uid="{00000000-0005-0000-0000-0000A5230000}"/>
    <cellStyle name="Input 2 6 7 2 2" xfId="7605" xr:uid="{00000000-0005-0000-0000-0000A6230000}"/>
    <cellStyle name="Input 2 6 7 2 2 2" xfId="23543" xr:uid="{00000000-0005-0000-0000-0000A7230000}"/>
    <cellStyle name="Input 2 6 7 2 3" xfId="13879" xr:uid="{00000000-0005-0000-0000-0000A8230000}"/>
    <cellStyle name="Input 2 6 7 2 3 2" xfId="28711" xr:uid="{00000000-0005-0000-0000-0000A9230000}"/>
    <cellStyle name="Input 2 6 7 2 4" xfId="21216" xr:uid="{00000000-0005-0000-0000-0000AA230000}"/>
    <cellStyle name="Input 2 6 7 3" xfId="5184" xr:uid="{00000000-0005-0000-0000-0000AB230000}"/>
    <cellStyle name="Input 2 6 7 3 2" xfId="9223" xr:uid="{00000000-0005-0000-0000-0000AC230000}"/>
    <cellStyle name="Input 2 6 7 3 2 2" xfId="24561" xr:uid="{00000000-0005-0000-0000-0000AD230000}"/>
    <cellStyle name="Input 2 6 7 3 3" xfId="15502" xr:uid="{00000000-0005-0000-0000-0000AE230000}"/>
    <cellStyle name="Input 2 6 7 3 3 2" xfId="30334" xr:uid="{00000000-0005-0000-0000-0000AF230000}"/>
    <cellStyle name="Input 2 6 7 3 4" xfId="22068" xr:uid="{00000000-0005-0000-0000-0000B0230000}"/>
    <cellStyle name="Input 2 6 7 4" xfId="4214" xr:uid="{00000000-0005-0000-0000-0000B1230000}"/>
    <cellStyle name="Input 2 6 7 4 2" xfId="8255" xr:uid="{00000000-0005-0000-0000-0000B2230000}"/>
    <cellStyle name="Input 2 6 7 4 2 2" xfId="23950" xr:uid="{00000000-0005-0000-0000-0000B3230000}"/>
    <cellStyle name="Input 2 6 7 4 3" xfId="14546" xr:uid="{00000000-0005-0000-0000-0000B4230000}"/>
    <cellStyle name="Input 2 6 7 4 3 2" xfId="29378" xr:uid="{00000000-0005-0000-0000-0000B5230000}"/>
    <cellStyle name="Input 2 6 7 4 4" xfId="21575" xr:uid="{00000000-0005-0000-0000-0000B6230000}"/>
    <cellStyle name="Input 2 6 7 5" xfId="6330" xr:uid="{00000000-0005-0000-0000-0000B7230000}"/>
    <cellStyle name="Input 2 6 7 5 2" xfId="22732" xr:uid="{00000000-0005-0000-0000-0000B8230000}"/>
    <cellStyle name="Input 2 6 7 6" xfId="12584" xr:uid="{00000000-0005-0000-0000-0000B9230000}"/>
    <cellStyle name="Input 2 6 7 6 2" xfId="27416" xr:uid="{00000000-0005-0000-0000-0000BA230000}"/>
    <cellStyle name="Input 2 6 7 7" xfId="20411" xr:uid="{00000000-0005-0000-0000-0000BB230000}"/>
    <cellStyle name="Input 2 6 8" xfId="4291" xr:uid="{00000000-0005-0000-0000-0000BC230000}"/>
    <cellStyle name="Input 2 6 8 2" xfId="8330" xr:uid="{00000000-0005-0000-0000-0000BD230000}"/>
    <cellStyle name="Input 2 6 8 2 2" xfId="24018" xr:uid="{00000000-0005-0000-0000-0000BE230000}"/>
    <cellStyle name="Input 2 6 8 3" xfId="14623" xr:uid="{00000000-0005-0000-0000-0000BF230000}"/>
    <cellStyle name="Input 2 6 8 3 2" xfId="29455" xr:uid="{00000000-0005-0000-0000-0000C0230000}"/>
    <cellStyle name="Input 2 6 8 4" xfId="21616" xr:uid="{00000000-0005-0000-0000-0000C1230000}"/>
    <cellStyle name="Input 2 6 9" xfId="3261" xr:uid="{00000000-0005-0000-0000-0000C2230000}"/>
    <cellStyle name="Input 2 6 9 2" xfId="7325" xr:uid="{00000000-0005-0000-0000-0000C3230000}"/>
    <cellStyle name="Input 2 6 9 2 2" xfId="23360" xr:uid="{00000000-0005-0000-0000-0000C4230000}"/>
    <cellStyle name="Input 2 6 9 3" xfId="13598" xr:uid="{00000000-0005-0000-0000-0000C5230000}"/>
    <cellStyle name="Input 2 6 9 3 2" xfId="28430" xr:uid="{00000000-0005-0000-0000-0000C6230000}"/>
    <cellStyle name="Input 2 6 9 4" xfId="21047" xr:uid="{00000000-0005-0000-0000-0000C7230000}"/>
    <cellStyle name="Input 2 7" xfId="1118" xr:uid="{00000000-0005-0000-0000-0000C8230000}"/>
    <cellStyle name="Input 2 7 10" xfId="2289" xr:uid="{00000000-0005-0000-0000-0000C9230000}"/>
    <cellStyle name="Input 2 7 10 2" xfId="6401" xr:uid="{00000000-0005-0000-0000-0000CA230000}"/>
    <cellStyle name="Input 2 7 10 2 2" xfId="22803" xr:uid="{00000000-0005-0000-0000-0000CB230000}"/>
    <cellStyle name="Input 2 7 10 3" xfId="12629" xr:uid="{00000000-0005-0000-0000-0000CC230000}"/>
    <cellStyle name="Input 2 7 10 3 2" xfId="27461" xr:uid="{00000000-0005-0000-0000-0000CD230000}"/>
    <cellStyle name="Input 2 7 10 4" xfId="20455" xr:uid="{00000000-0005-0000-0000-0000CE230000}"/>
    <cellStyle name="Input 2 7 11" xfId="5255" xr:uid="{00000000-0005-0000-0000-0000CF230000}"/>
    <cellStyle name="Input 2 7 11 2" xfId="15571" xr:uid="{00000000-0005-0000-0000-0000D0230000}"/>
    <cellStyle name="Input 2 7 11 2 2" xfId="30403" xr:uid="{00000000-0005-0000-0000-0000D1230000}"/>
    <cellStyle name="Input 2 7 11 3" xfId="22112" xr:uid="{00000000-0005-0000-0000-0000D2230000}"/>
    <cellStyle name="Input 2 7 12" xfId="5413" xr:uid="{00000000-0005-0000-0000-0000D3230000}"/>
    <cellStyle name="Input 2 7 12 2" xfId="15649" xr:uid="{00000000-0005-0000-0000-0000D4230000}"/>
    <cellStyle name="Input 2 7 12 2 2" xfId="30481" xr:uid="{00000000-0005-0000-0000-0000D5230000}"/>
    <cellStyle name="Input 2 7 12 3" xfId="22174" xr:uid="{00000000-0005-0000-0000-0000D6230000}"/>
    <cellStyle name="Input 2 7 13" xfId="9378" xr:uid="{00000000-0005-0000-0000-0000D7230000}"/>
    <cellStyle name="Input 2 7 13 2" xfId="24684" xr:uid="{00000000-0005-0000-0000-0000D8230000}"/>
    <cellStyle name="Input 2 7 14" xfId="5367" xr:uid="{00000000-0005-0000-0000-0000D9230000}"/>
    <cellStyle name="Input 2 7 14 2" xfId="18241" xr:uid="{00000000-0005-0000-0000-0000DA230000}"/>
    <cellStyle name="Input 2 7 2" xfId="1325" xr:uid="{00000000-0005-0000-0000-0000DB230000}"/>
    <cellStyle name="Input 2 7 2 2" xfId="1829" xr:uid="{00000000-0005-0000-0000-0000DC230000}"/>
    <cellStyle name="Input 2 7 2 2 2" xfId="3119" xr:uid="{00000000-0005-0000-0000-0000DD230000}"/>
    <cellStyle name="Input 2 7 2 2 2 2" xfId="7184" xr:uid="{00000000-0005-0000-0000-0000DE230000}"/>
    <cellStyle name="Input 2 7 2 2 2 2 2" xfId="23258" xr:uid="{00000000-0005-0000-0000-0000DF230000}"/>
    <cellStyle name="Input 2 7 2 2 2 3" xfId="13457" xr:uid="{00000000-0005-0000-0000-0000E0230000}"/>
    <cellStyle name="Input 2 7 2 2 2 3 2" xfId="28289" xr:uid="{00000000-0005-0000-0000-0000E1230000}"/>
    <cellStyle name="Input 2 7 2 2 2 4" xfId="20948" xr:uid="{00000000-0005-0000-0000-0000E2230000}"/>
    <cellStyle name="Input 2 7 2 2 3" xfId="4807" xr:uid="{00000000-0005-0000-0000-0000E3230000}"/>
    <cellStyle name="Input 2 7 2 2 3 2" xfId="8846" xr:uid="{00000000-0005-0000-0000-0000E4230000}"/>
    <cellStyle name="Input 2 7 2 2 3 2 2" xfId="24344" xr:uid="{00000000-0005-0000-0000-0000E5230000}"/>
    <cellStyle name="Input 2 7 2 2 3 3" xfId="15131" xr:uid="{00000000-0005-0000-0000-0000E6230000}"/>
    <cellStyle name="Input 2 7 2 2 3 3 2" xfId="29963" xr:uid="{00000000-0005-0000-0000-0000E7230000}"/>
    <cellStyle name="Input 2 7 2 2 3 4" xfId="21882" xr:uid="{00000000-0005-0000-0000-0000E8230000}"/>
    <cellStyle name="Input 2 7 2 2 4" xfId="2797" xr:uid="{00000000-0005-0000-0000-0000E9230000}"/>
    <cellStyle name="Input 2 7 2 2 4 2" xfId="6888" xr:uid="{00000000-0005-0000-0000-0000EA230000}"/>
    <cellStyle name="Input 2 7 2 2 4 2 2" xfId="23095" xr:uid="{00000000-0005-0000-0000-0000EB230000}"/>
    <cellStyle name="Input 2 7 2 2 4 3" xfId="13135" xr:uid="{00000000-0005-0000-0000-0000EC230000}"/>
    <cellStyle name="Input 2 7 2 2 4 3 2" xfId="27967" xr:uid="{00000000-0005-0000-0000-0000ED230000}"/>
    <cellStyle name="Input 2 7 2 2 4 4" xfId="20755" xr:uid="{00000000-0005-0000-0000-0000EE230000}"/>
    <cellStyle name="Input 2 7 2 2 5" xfId="5961" xr:uid="{00000000-0005-0000-0000-0000EF230000}"/>
    <cellStyle name="Input 2 7 2 2 5 2" xfId="16153" xr:uid="{00000000-0005-0000-0000-0000F0230000}"/>
    <cellStyle name="Input 2 7 2 2 5 2 2" xfId="30985" xr:uid="{00000000-0005-0000-0000-0000F1230000}"/>
    <cellStyle name="Input 2 7 2 2 5 3" xfId="22526" xr:uid="{00000000-0005-0000-0000-0000F2230000}"/>
    <cellStyle name="Input 2 7 2 2 6" xfId="12223" xr:uid="{00000000-0005-0000-0000-0000F3230000}"/>
    <cellStyle name="Input 2 7 2 2 6 2" xfId="27055" xr:uid="{00000000-0005-0000-0000-0000F4230000}"/>
    <cellStyle name="Input 2 7 2 2 7" xfId="9819" xr:uid="{00000000-0005-0000-0000-0000F5230000}"/>
    <cellStyle name="Input 2 7 2 2 7 2" xfId="20070" xr:uid="{00000000-0005-0000-0000-0000F6230000}"/>
    <cellStyle name="Input 2 7 2 3" xfId="3459" xr:uid="{00000000-0005-0000-0000-0000F7230000}"/>
    <cellStyle name="Input 2 7 2 3 2" xfId="7522" xr:uid="{00000000-0005-0000-0000-0000F8230000}"/>
    <cellStyle name="Input 2 7 2 3 2 2" xfId="23491" xr:uid="{00000000-0005-0000-0000-0000F9230000}"/>
    <cellStyle name="Input 2 7 2 3 3" xfId="13796" xr:uid="{00000000-0005-0000-0000-0000FA230000}"/>
    <cellStyle name="Input 2 7 2 3 3 2" xfId="28628" xr:uid="{00000000-0005-0000-0000-0000FB230000}"/>
    <cellStyle name="Input 2 7 2 3 4" xfId="21166" xr:uid="{00000000-0005-0000-0000-0000FC230000}"/>
    <cellStyle name="Input 2 7 2 4" xfId="4387" xr:uid="{00000000-0005-0000-0000-0000FD230000}"/>
    <cellStyle name="Input 2 7 2 4 2" xfId="8426" xr:uid="{00000000-0005-0000-0000-0000FE230000}"/>
    <cellStyle name="Input 2 7 2 4 2 2" xfId="24084" xr:uid="{00000000-0005-0000-0000-0000FF230000}"/>
    <cellStyle name="Input 2 7 2 4 3" xfId="14716" xr:uid="{00000000-0005-0000-0000-000000240000}"/>
    <cellStyle name="Input 2 7 2 4 3 2" xfId="29548" xr:uid="{00000000-0005-0000-0000-000001240000}"/>
    <cellStyle name="Input 2 7 2 4 4" xfId="21652" xr:uid="{00000000-0005-0000-0000-000002240000}"/>
    <cellStyle name="Input 2 7 2 5" xfId="2377" xr:uid="{00000000-0005-0000-0000-000003240000}"/>
    <cellStyle name="Input 2 7 2 5 2" xfId="6489" xr:uid="{00000000-0005-0000-0000-000004240000}"/>
    <cellStyle name="Input 2 7 2 5 2 2" xfId="22859" xr:uid="{00000000-0005-0000-0000-000005240000}"/>
    <cellStyle name="Input 2 7 2 5 3" xfId="12716" xr:uid="{00000000-0005-0000-0000-000006240000}"/>
    <cellStyle name="Input 2 7 2 5 3 2" xfId="27548" xr:uid="{00000000-0005-0000-0000-000007240000}"/>
    <cellStyle name="Input 2 7 2 5 4" xfId="20501" xr:uid="{00000000-0005-0000-0000-000008240000}"/>
    <cellStyle name="Input 2 7 2 6" xfId="5502" xr:uid="{00000000-0005-0000-0000-000009240000}"/>
    <cellStyle name="Input 2 7 2 6 2" xfId="15737" xr:uid="{00000000-0005-0000-0000-00000A240000}"/>
    <cellStyle name="Input 2 7 2 6 2 2" xfId="30569" xr:uid="{00000000-0005-0000-0000-00000B240000}"/>
    <cellStyle name="Input 2 7 2 6 3" xfId="22230" xr:uid="{00000000-0005-0000-0000-00000C240000}"/>
    <cellStyle name="Input 2 7 2 7" xfId="11752" xr:uid="{00000000-0005-0000-0000-00000D240000}"/>
    <cellStyle name="Input 2 7 2 7 2" xfId="26584" xr:uid="{00000000-0005-0000-0000-00000E240000}"/>
    <cellStyle name="Input 2 7 2 8" xfId="9423" xr:uid="{00000000-0005-0000-0000-00000F240000}"/>
    <cellStyle name="Input 2 7 2 8 2" xfId="19727" xr:uid="{00000000-0005-0000-0000-000010240000}"/>
    <cellStyle name="Input 2 7 3" xfId="1483" xr:uid="{00000000-0005-0000-0000-000011240000}"/>
    <cellStyle name="Input 2 7 3 2" xfId="1984" xr:uid="{00000000-0005-0000-0000-000012240000}"/>
    <cellStyle name="Input 2 7 3 2 2" xfId="3796" xr:uid="{00000000-0005-0000-0000-000013240000}"/>
    <cellStyle name="Input 2 7 3 2 2 2" xfId="7851" xr:uid="{00000000-0005-0000-0000-000014240000}"/>
    <cellStyle name="Input 2 7 3 2 2 2 2" xfId="23705" xr:uid="{00000000-0005-0000-0000-000015240000}"/>
    <cellStyle name="Input 2 7 3 2 2 3" xfId="14131" xr:uid="{00000000-0005-0000-0000-000016240000}"/>
    <cellStyle name="Input 2 7 3 2 2 3 2" xfId="28963" xr:uid="{00000000-0005-0000-0000-000017240000}"/>
    <cellStyle name="Input 2 7 3 2 2 4" xfId="21357" xr:uid="{00000000-0005-0000-0000-000018240000}"/>
    <cellStyle name="Input 2 7 3 2 3" xfId="4948" xr:uid="{00000000-0005-0000-0000-000019240000}"/>
    <cellStyle name="Input 2 7 3 2 3 2" xfId="8987" xr:uid="{00000000-0005-0000-0000-00001A240000}"/>
    <cellStyle name="Input 2 7 3 2 3 2 2" xfId="24453" xr:uid="{00000000-0005-0000-0000-00001B240000}"/>
    <cellStyle name="Input 2 7 3 2 3 3" xfId="15270" xr:uid="{00000000-0005-0000-0000-00001C240000}"/>
    <cellStyle name="Input 2 7 3 2 3 3 2" xfId="30102" xr:uid="{00000000-0005-0000-0000-00001D240000}"/>
    <cellStyle name="Input 2 7 3 2 3 4" xfId="21983" xr:uid="{00000000-0005-0000-0000-00001E240000}"/>
    <cellStyle name="Input 2 7 3 2 4" xfId="2938" xr:uid="{00000000-0005-0000-0000-00001F240000}"/>
    <cellStyle name="Input 2 7 3 2 4 2" xfId="7022" xr:uid="{00000000-0005-0000-0000-000020240000}"/>
    <cellStyle name="Input 2 7 3 2 4 2 2" xfId="23196" xr:uid="{00000000-0005-0000-0000-000021240000}"/>
    <cellStyle name="Input 2 7 3 2 4 3" xfId="13276" xr:uid="{00000000-0005-0000-0000-000022240000}"/>
    <cellStyle name="Input 2 7 3 2 4 3 2" xfId="28108" xr:uid="{00000000-0005-0000-0000-000023240000}"/>
    <cellStyle name="Input 2 7 3 2 4 4" xfId="20864" xr:uid="{00000000-0005-0000-0000-000024240000}"/>
    <cellStyle name="Input 2 7 3 2 5" xfId="6114" xr:uid="{00000000-0005-0000-0000-000025240000}"/>
    <cellStyle name="Input 2 7 3 2 5 2" xfId="16301" xr:uid="{00000000-0005-0000-0000-000026240000}"/>
    <cellStyle name="Input 2 7 3 2 5 2 2" xfId="31133" xr:uid="{00000000-0005-0000-0000-000027240000}"/>
    <cellStyle name="Input 2 7 3 2 5 3" xfId="22647" xr:uid="{00000000-0005-0000-0000-000028240000}"/>
    <cellStyle name="Input 2 7 3 2 6" xfId="12371" xr:uid="{00000000-0005-0000-0000-000029240000}"/>
    <cellStyle name="Input 2 7 3 2 6 2" xfId="27203" xr:uid="{00000000-0005-0000-0000-00002A240000}"/>
    <cellStyle name="Input 2 7 3 2 7" xfId="9953" xr:uid="{00000000-0005-0000-0000-00002B240000}"/>
    <cellStyle name="Input 2 7 3 2 7 2" xfId="20155" xr:uid="{00000000-0005-0000-0000-00002C240000}"/>
    <cellStyle name="Input 2 7 3 3" xfId="4093" xr:uid="{00000000-0005-0000-0000-00002D240000}"/>
    <cellStyle name="Input 2 7 3 3 2" xfId="8139" xr:uid="{00000000-0005-0000-0000-00002E240000}"/>
    <cellStyle name="Input 2 7 3 3 2 2" xfId="23886" xr:uid="{00000000-0005-0000-0000-00002F240000}"/>
    <cellStyle name="Input 2 7 3 3 3" xfId="14425" xr:uid="{00000000-0005-0000-0000-000030240000}"/>
    <cellStyle name="Input 2 7 3 3 3 2" xfId="29257" xr:uid="{00000000-0005-0000-0000-000031240000}"/>
    <cellStyle name="Input 2 7 3 3 4" xfId="21516" xr:uid="{00000000-0005-0000-0000-000032240000}"/>
    <cellStyle name="Input 2 7 3 4" xfId="4528" xr:uid="{00000000-0005-0000-0000-000033240000}"/>
    <cellStyle name="Input 2 7 3 4 2" xfId="8567" xr:uid="{00000000-0005-0000-0000-000034240000}"/>
    <cellStyle name="Input 2 7 3 4 2 2" xfId="24193" xr:uid="{00000000-0005-0000-0000-000035240000}"/>
    <cellStyle name="Input 2 7 3 4 3" xfId="14855" xr:uid="{00000000-0005-0000-0000-000036240000}"/>
    <cellStyle name="Input 2 7 3 4 3 2" xfId="29687" xr:uid="{00000000-0005-0000-0000-000037240000}"/>
    <cellStyle name="Input 2 7 3 4 4" xfId="21753" xr:uid="{00000000-0005-0000-0000-000038240000}"/>
    <cellStyle name="Input 2 7 3 5" xfId="2518" xr:uid="{00000000-0005-0000-0000-000039240000}"/>
    <cellStyle name="Input 2 7 3 5 2" xfId="6624" xr:uid="{00000000-0005-0000-0000-00003A240000}"/>
    <cellStyle name="Input 2 7 3 5 2 2" xfId="22962" xr:uid="{00000000-0005-0000-0000-00003B240000}"/>
    <cellStyle name="Input 2 7 3 5 3" xfId="12856" xr:uid="{00000000-0005-0000-0000-00003C240000}"/>
    <cellStyle name="Input 2 7 3 5 3 2" xfId="27688" xr:uid="{00000000-0005-0000-0000-00003D240000}"/>
    <cellStyle name="Input 2 7 3 5 4" xfId="20608" xr:uid="{00000000-0005-0000-0000-00003E240000}"/>
    <cellStyle name="Input 2 7 3 6" xfId="5641" xr:uid="{00000000-0005-0000-0000-00003F240000}"/>
    <cellStyle name="Input 2 7 3 6 2" xfId="15876" xr:uid="{00000000-0005-0000-0000-000040240000}"/>
    <cellStyle name="Input 2 7 3 6 2 2" xfId="30708" xr:uid="{00000000-0005-0000-0000-000041240000}"/>
    <cellStyle name="Input 2 7 3 6 3" xfId="22337" xr:uid="{00000000-0005-0000-0000-000042240000}"/>
    <cellStyle name="Input 2 7 3 7" xfId="11900" xr:uid="{00000000-0005-0000-0000-000043240000}"/>
    <cellStyle name="Input 2 7 3 7 2" xfId="26732" xr:uid="{00000000-0005-0000-0000-000044240000}"/>
    <cellStyle name="Input 2 7 3 8" xfId="9558" xr:uid="{00000000-0005-0000-0000-000045240000}"/>
    <cellStyle name="Input 2 7 3 8 2" xfId="19860" xr:uid="{00000000-0005-0000-0000-000046240000}"/>
    <cellStyle name="Input 2 7 4" xfId="1402" xr:uid="{00000000-0005-0000-0000-000047240000}"/>
    <cellStyle name="Input 2 7 4 2" xfId="1904" xr:uid="{00000000-0005-0000-0000-000048240000}"/>
    <cellStyle name="Input 2 7 4 2 2" xfId="4088" xr:uid="{00000000-0005-0000-0000-000049240000}"/>
    <cellStyle name="Input 2 7 4 2 2 2" xfId="8134" xr:uid="{00000000-0005-0000-0000-00004A240000}"/>
    <cellStyle name="Input 2 7 4 2 2 2 2" xfId="23882" xr:uid="{00000000-0005-0000-0000-00004B240000}"/>
    <cellStyle name="Input 2 7 4 2 2 3" xfId="14420" xr:uid="{00000000-0005-0000-0000-00004C240000}"/>
    <cellStyle name="Input 2 7 4 2 2 3 2" xfId="29252" xr:uid="{00000000-0005-0000-0000-00004D240000}"/>
    <cellStyle name="Input 2 7 4 2 2 4" xfId="21512" xr:uid="{00000000-0005-0000-0000-00004E240000}"/>
    <cellStyle name="Input 2 7 4 2 3" xfId="4882" xr:uid="{00000000-0005-0000-0000-00004F240000}"/>
    <cellStyle name="Input 2 7 4 2 3 2" xfId="8921" xr:uid="{00000000-0005-0000-0000-000050240000}"/>
    <cellStyle name="Input 2 7 4 2 3 2 2" xfId="24387" xr:uid="{00000000-0005-0000-0000-000051240000}"/>
    <cellStyle name="Input 2 7 4 2 3 3" xfId="15205" xr:uid="{00000000-0005-0000-0000-000052240000}"/>
    <cellStyle name="Input 2 7 4 2 3 3 2" xfId="30037" xr:uid="{00000000-0005-0000-0000-000053240000}"/>
    <cellStyle name="Input 2 7 4 2 3 4" xfId="21919" xr:uid="{00000000-0005-0000-0000-000054240000}"/>
    <cellStyle name="Input 2 7 4 2 4" xfId="2872" xr:uid="{00000000-0005-0000-0000-000055240000}"/>
    <cellStyle name="Input 2 7 4 2 4 2" xfId="6957" xr:uid="{00000000-0005-0000-0000-000056240000}"/>
    <cellStyle name="Input 2 7 4 2 4 2 2" xfId="23132" xr:uid="{00000000-0005-0000-0000-000057240000}"/>
    <cellStyle name="Input 2 7 4 2 4 3" xfId="13210" xr:uid="{00000000-0005-0000-0000-000058240000}"/>
    <cellStyle name="Input 2 7 4 2 4 3 2" xfId="28042" xr:uid="{00000000-0005-0000-0000-000059240000}"/>
    <cellStyle name="Input 2 7 4 2 4 4" xfId="20798" xr:uid="{00000000-0005-0000-0000-00005A240000}"/>
    <cellStyle name="Input 2 7 4 2 5" xfId="6035" xr:uid="{00000000-0005-0000-0000-00005B240000}"/>
    <cellStyle name="Input 2 7 4 2 5 2" xfId="16222" xr:uid="{00000000-0005-0000-0000-00005C240000}"/>
    <cellStyle name="Input 2 7 4 2 5 2 2" xfId="31054" xr:uid="{00000000-0005-0000-0000-00005D240000}"/>
    <cellStyle name="Input 2 7 4 2 5 3" xfId="22568" xr:uid="{00000000-0005-0000-0000-00005E240000}"/>
    <cellStyle name="Input 2 7 4 2 6" xfId="12292" xr:uid="{00000000-0005-0000-0000-00005F240000}"/>
    <cellStyle name="Input 2 7 4 2 6 2" xfId="27124" xr:uid="{00000000-0005-0000-0000-000060240000}"/>
    <cellStyle name="Input 2 7 4 2 7" xfId="9888" xr:uid="{00000000-0005-0000-0000-000061240000}"/>
    <cellStyle name="Input 2 7 4 2 7 2" xfId="20091" xr:uid="{00000000-0005-0000-0000-000062240000}"/>
    <cellStyle name="Input 2 7 4 3" xfId="3977" xr:uid="{00000000-0005-0000-0000-000063240000}"/>
    <cellStyle name="Input 2 7 4 3 2" xfId="8026" xr:uid="{00000000-0005-0000-0000-000064240000}"/>
    <cellStyle name="Input 2 7 4 3 2 2" xfId="23816" xr:uid="{00000000-0005-0000-0000-000065240000}"/>
    <cellStyle name="Input 2 7 4 3 3" xfId="14310" xr:uid="{00000000-0005-0000-0000-000066240000}"/>
    <cellStyle name="Input 2 7 4 3 3 2" xfId="29142" xr:uid="{00000000-0005-0000-0000-000067240000}"/>
    <cellStyle name="Input 2 7 4 3 4" xfId="21454" xr:uid="{00000000-0005-0000-0000-000068240000}"/>
    <cellStyle name="Input 2 7 4 4" xfId="4462" xr:uid="{00000000-0005-0000-0000-000069240000}"/>
    <cellStyle name="Input 2 7 4 4 2" xfId="8501" xr:uid="{00000000-0005-0000-0000-00006A240000}"/>
    <cellStyle name="Input 2 7 4 4 2 2" xfId="24127" xr:uid="{00000000-0005-0000-0000-00006B240000}"/>
    <cellStyle name="Input 2 7 4 4 3" xfId="14790" xr:uid="{00000000-0005-0000-0000-00006C240000}"/>
    <cellStyle name="Input 2 7 4 4 3 2" xfId="29622" xr:uid="{00000000-0005-0000-0000-00006D240000}"/>
    <cellStyle name="Input 2 7 4 4 4" xfId="21689" xr:uid="{00000000-0005-0000-0000-00006E240000}"/>
    <cellStyle name="Input 2 7 4 5" xfId="2452" xr:uid="{00000000-0005-0000-0000-00006F240000}"/>
    <cellStyle name="Input 2 7 4 5 2" xfId="6558" xr:uid="{00000000-0005-0000-0000-000070240000}"/>
    <cellStyle name="Input 2 7 4 5 2 2" xfId="22896" xr:uid="{00000000-0005-0000-0000-000071240000}"/>
    <cellStyle name="Input 2 7 4 5 3" xfId="12791" xr:uid="{00000000-0005-0000-0000-000072240000}"/>
    <cellStyle name="Input 2 7 4 5 3 2" xfId="27623" xr:uid="{00000000-0005-0000-0000-000073240000}"/>
    <cellStyle name="Input 2 7 4 5 4" xfId="20544" xr:uid="{00000000-0005-0000-0000-000074240000}"/>
    <cellStyle name="Input 2 7 4 6" xfId="5576" xr:uid="{00000000-0005-0000-0000-000075240000}"/>
    <cellStyle name="Input 2 7 4 6 2" xfId="15811" xr:uid="{00000000-0005-0000-0000-000076240000}"/>
    <cellStyle name="Input 2 7 4 6 2 2" xfId="30643" xr:uid="{00000000-0005-0000-0000-000077240000}"/>
    <cellStyle name="Input 2 7 4 6 3" xfId="22272" xr:uid="{00000000-0005-0000-0000-000078240000}"/>
    <cellStyle name="Input 2 7 4 7" xfId="11821" xr:uid="{00000000-0005-0000-0000-000079240000}"/>
    <cellStyle name="Input 2 7 4 7 2" xfId="26653" xr:uid="{00000000-0005-0000-0000-00007A240000}"/>
    <cellStyle name="Input 2 7 4 8" xfId="9493" xr:uid="{00000000-0005-0000-0000-00007B240000}"/>
    <cellStyle name="Input 2 7 4 8 2" xfId="19796" xr:uid="{00000000-0005-0000-0000-00007C240000}"/>
    <cellStyle name="Input 2 7 5" xfId="1473" xr:uid="{00000000-0005-0000-0000-00007D240000}"/>
    <cellStyle name="Input 2 7 5 2" xfId="1974" xr:uid="{00000000-0005-0000-0000-00007E240000}"/>
    <cellStyle name="Input 2 7 5 2 2" xfId="3481" xr:uid="{00000000-0005-0000-0000-00007F240000}"/>
    <cellStyle name="Input 2 7 5 2 2 2" xfId="7543" xr:uid="{00000000-0005-0000-0000-000080240000}"/>
    <cellStyle name="Input 2 7 5 2 2 2 2" xfId="23507" xr:uid="{00000000-0005-0000-0000-000081240000}"/>
    <cellStyle name="Input 2 7 5 2 2 3" xfId="13818" xr:uid="{00000000-0005-0000-0000-000082240000}"/>
    <cellStyle name="Input 2 7 5 2 2 3 2" xfId="28650" xr:uid="{00000000-0005-0000-0000-000083240000}"/>
    <cellStyle name="Input 2 7 5 2 2 4" xfId="21183" xr:uid="{00000000-0005-0000-0000-000084240000}"/>
    <cellStyle name="Input 2 7 5 2 3" xfId="4938" xr:uid="{00000000-0005-0000-0000-000085240000}"/>
    <cellStyle name="Input 2 7 5 2 3 2" xfId="8977" xr:uid="{00000000-0005-0000-0000-000086240000}"/>
    <cellStyle name="Input 2 7 5 2 3 2 2" xfId="24443" xr:uid="{00000000-0005-0000-0000-000087240000}"/>
    <cellStyle name="Input 2 7 5 2 3 3" xfId="15260" xr:uid="{00000000-0005-0000-0000-000088240000}"/>
    <cellStyle name="Input 2 7 5 2 3 3 2" xfId="30092" xr:uid="{00000000-0005-0000-0000-000089240000}"/>
    <cellStyle name="Input 2 7 5 2 3 4" xfId="21973" xr:uid="{00000000-0005-0000-0000-00008A240000}"/>
    <cellStyle name="Input 2 7 5 2 4" xfId="2928" xr:uid="{00000000-0005-0000-0000-00008B240000}"/>
    <cellStyle name="Input 2 7 5 2 4 2" xfId="7012" xr:uid="{00000000-0005-0000-0000-00008C240000}"/>
    <cellStyle name="Input 2 7 5 2 4 2 2" xfId="23186" xr:uid="{00000000-0005-0000-0000-00008D240000}"/>
    <cellStyle name="Input 2 7 5 2 4 3" xfId="13266" xr:uid="{00000000-0005-0000-0000-00008E240000}"/>
    <cellStyle name="Input 2 7 5 2 4 3 2" xfId="28098" xr:uid="{00000000-0005-0000-0000-00008F240000}"/>
    <cellStyle name="Input 2 7 5 2 4 4" xfId="20854" xr:uid="{00000000-0005-0000-0000-000090240000}"/>
    <cellStyle name="Input 2 7 5 2 5" xfId="6104" xr:uid="{00000000-0005-0000-0000-000091240000}"/>
    <cellStyle name="Input 2 7 5 2 5 2" xfId="16291" xr:uid="{00000000-0005-0000-0000-000092240000}"/>
    <cellStyle name="Input 2 7 5 2 5 2 2" xfId="31123" xr:uid="{00000000-0005-0000-0000-000093240000}"/>
    <cellStyle name="Input 2 7 5 2 5 3" xfId="22637" xr:uid="{00000000-0005-0000-0000-000094240000}"/>
    <cellStyle name="Input 2 7 5 2 6" xfId="12361" xr:uid="{00000000-0005-0000-0000-000095240000}"/>
    <cellStyle name="Input 2 7 5 2 6 2" xfId="27193" xr:uid="{00000000-0005-0000-0000-000096240000}"/>
    <cellStyle name="Input 2 7 5 2 7" xfId="9943" xr:uid="{00000000-0005-0000-0000-000097240000}"/>
    <cellStyle name="Input 2 7 5 2 7 2" xfId="20145" xr:uid="{00000000-0005-0000-0000-000098240000}"/>
    <cellStyle name="Input 2 7 5 3" xfId="4268" xr:uid="{00000000-0005-0000-0000-000099240000}"/>
    <cellStyle name="Input 2 7 5 3 2" xfId="8307" xr:uid="{00000000-0005-0000-0000-00009A240000}"/>
    <cellStyle name="Input 2 7 5 3 2 2" xfId="24001" xr:uid="{00000000-0005-0000-0000-00009B240000}"/>
    <cellStyle name="Input 2 7 5 3 3" xfId="14600" xr:uid="{00000000-0005-0000-0000-00009C240000}"/>
    <cellStyle name="Input 2 7 5 3 3 2" xfId="29432" xr:uid="{00000000-0005-0000-0000-00009D240000}"/>
    <cellStyle name="Input 2 7 5 3 4" xfId="21601" xr:uid="{00000000-0005-0000-0000-00009E240000}"/>
    <cellStyle name="Input 2 7 5 4" xfId="4518" xr:uid="{00000000-0005-0000-0000-00009F240000}"/>
    <cellStyle name="Input 2 7 5 4 2" xfId="8557" xr:uid="{00000000-0005-0000-0000-0000A0240000}"/>
    <cellStyle name="Input 2 7 5 4 2 2" xfId="24183" xr:uid="{00000000-0005-0000-0000-0000A1240000}"/>
    <cellStyle name="Input 2 7 5 4 3" xfId="14845" xr:uid="{00000000-0005-0000-0000-0000A2240000}"/>
    <cellStyle name="Input 2 7 5 4 3 2" xfId="29677" xr:uid="{00000000-0005-0000-0000-0000A3240000}"/>
    <cellStyle name="Input 2 7 5 4 4" xfId="21743" xr:uid="{00000000-0005-0000-0000-0000A4240000}"/>
    <cellStyle name="Input 2 7 5 5" xfId="2508" xr:uid="{00000000-0005-0000-0000-0000A5240000}"/>
    <cellStyle name="Input 2 7 5 5 2" xfId="6614" xr:uid="{00000000-0005-0000-0000-0000A6240000}"/>
    <cellStyle name="Input 2 7 5 5 2 2" xfId="22952" xr:uid="{00000000-0005-0000-0000-0000A7240000}"/>
    <cellStyle name="Input 2 7 5 5 3" xfId="12846" xr:uid="{00000000-0005-0000-0000-0000A8240000}"/>
    <cellStyle name="Input 2 7 5 5 3 2" xfId="27678" xr:uid="{00000000-0005-0000-0000-0000A9240000}"/>
    <cellStyle name="Input 2 7 5 5 4" xfId="20598" xr:uid="{00000000-0005-0000-0000-0000AA240000}"/>
    <cellStyle name="Input 2 7 5 6" xfId="5631" xr:uid="{00000000-0005-0000-0000-0000AB240000}"/>
    <cellStyle name="Input 2 7 5 6 2" xfId="15866" xr:uid="{00000000-0005-0000-0000-0000AC240000}"/>
    <cellStyle name="Input 2 7 5 6 2 2" xfId="30698" xr:uid="{00000000-0005-0000-0000-0000AD240000}"/>
    <cellStyle name="Input 2 7 5 6 3" xfId="22327" xr:uid="{00000000-0005-0000-0000-0000AE240000}"/>
    <cellStyle name="Input 2 7 5 7" xfId="11890" xr:uid="{00000000-0005-0000-0000-0000AF240000}"/>
    <cellStyle name="Input 2 7 5 7 2" xfId="26722" xr:uid="{00000000-0005-0000-0000-0000B0240000}"/>
    <cellStyle name="Input 2 7 5 8" xfId="9548" xr:uid="{00000000-0005-0000-0000-0000B1240000}"/>
    <cellStyle name="Input 2 7 5 8 2" xfId="19850" xr:uid="{00000000-0005-0000-0000-0000B2240000}"/>
    <cellStyle name="Input 2 7 6" xfId="1751" xr:uid="{00000000-0005-0000-0000-0000B3240000}"/>
    <cellStyle name="Input 2 7 6 2" xfId="3597" xr:uid="{00000000-0005-0000-0000-0000B4240000}"/>
    <cellStyle name="Input 2 7 6 2 2" xfId="7659" xr:uid="{00000000-0005-0000-0000-0000B5240000}"/>
    <cellStyle name="Input 2 7 6 2 2 2" xfId="23574" xr:uid="{00000000-0005-0000-0000-0000B6240000}"/>
    <cellStyle name="Input 2 7 6 2 3" xfId="13933" xr:uid="{00000000-0005-0000-0000-0000B7240000}"/>
    <cellStyle name="Input 2 7 6 2 3 2" xfId="28765" xr:uid="{00000000-0005-0000-0000-0000B8240000}"/>
    <cellStyle name="Input 2 7 6 2 4" xfId="21243" xr:uid="{00000000-0005-0000-0000-0000B9240000}"/>
    <cellStyle name="Input 2 7 6 3" xfId="4729" xr:uid="{00000000-0005-0000-0000-0000BA240000}"/>
    <cellStyle name="Input 2 7 6 3 2" xfId="8768" xr:uid="{00000000-0005-0000-0000-0000BB240000}"/>
    <cellStyle name="Input 2 7 6 3 2 2" xfId="24298" xr:uid="{00000000-0005-0000-0000-0000BC240000}"/>
    <cellStyle name="Input 2 7 6 3 3" xfId="15053" xr:uid="{00000000-0005-0000-0000-0000BD240000}"/>
    <cellStyle name="Input 2 7 6 3 3 2" xfId="29885" xr:uid="{00000000-0005-0000-0000-0000BE240000}"/>
    <cellStyle name="Input 2 7 6 3 4" xfId="21836" xr:uid="{00000000-0005-0000-0000-0000BF240000}"/>
    <cellStyle name="Input 2 7 6 4" xfId="2719" xr:uid="{00000000-0005-0000-0000-0000C0240000}"/>
    <cellStyle name="Input 2 7 6 4 2" xfId="6810" xr:uid="{00000000-0005-0000-0000-0000C1240000}"/>
    <cellStyle name="Input 2 7 6 4 2 2" xfId="23049" xr:uid="{00000000-0005-0000-0000-0000C2240000}"/>
    <cellStyle name="Input 2 7 6 4 3" xfId="13057" xr:uid="{00000000-0005-0000-0000-0000C3240000}"/>
    <cellStyle name="Input 2 7 6 4 3 2" xfId="27889" xr:uid="{00000000-0005-0000-0000-0000C4240000}"/>
    <cellStyle name="Input 2 7 6 4 4" xfId="20709" xr:uid="{00000000-0005-0000-0000-0000C5240000}"/>
    <cellStyle name="Input 2 7 6 5" xfId="5883" xr:uid="{00000000-0005-0000-0000-0000C6240000}"/>
    <cellStyle name="Input 2 7 6 5 2" xfId="16075" xr:uid="{00000000-0005-0000-0000-0000C7240000}"/>
    <cellStyle name="Input 2 7 6 5 2 2" xfId="30907" xr:uid="{00000000-0005-0000-0000-0000C8240000}"/>
    <cellStyle name="Input 2 7 6 5 3" xfId="22480" xr:uid="{00000000-0005-0000-0000-0000C9240000}"/>
    <cellStyle name="Input 2 7 6 6" xfId="12145" xr:uid="{00000000-0005-0000-0000-0000CA240000}"/>
    <cellStyle name="Input 2 7 6 6 2" xfId="26977" xr:uid="{00000000-0005-0000-0000-0000CB240000}"/>
    <cellStyle name="Input 2 7 6 7" xfId="9741" xr:uid="{00000000-0005-0000-0000-0000CC240000}"/>
    <cellStyle name="Input 2 7 6 7 2" xfId="20039" xr:uid="{00000000-0005-0000-0000-0000CD240000}"/>
    <cellStyle name="Input 2 7 7" xfId="2215" xr:uid="{00000000-0005-0000-0000-0000CE240000}"/>
    <cellStyle name="Input 2 7 7 2" xfId="3841" xr:uid="{00000000-0005-0000-0000-0000CF240000}"/>
    <cellStyle name="Input 2 7 7 2 2" xfId="7894" xr:uid="{00000000-0005-0000-0000-0000D0240000}"/>
    <cellStyle name="Input 2 7 7 2 2 2" xfId="23731" xr:uid="{00000000-0005-0000-0000-0000D1240000}"/>
    <cellStyle name="Input 2 7 7 2 3" xfId="14176" xr:uid="{00000000-0005-0000-0000-0000D2240000}"/>
    <cellStyle name="Input 2 7 7 2 3 2" xfId="29008" xr:uid="{00000000-0005-0000-0000-0000D3240000}"/>
    <cellStyle name="Input 2 7 7 2 4" xfId="21378" xr:uid="{00000000-0005-0000-0000-0000D4240000}"/>
    <cellStyle name="Input 2 7 7 3" xfId="5183" xr:uid="{00000000-0005-0000-0000-0000D5240000}"/>
    <cellStyle name="Input 2 7 7 3 2" xfId="9222" xr:uid="{00000000-0005-0000-0000-0000D6240000}"/>
    <cellStyle name="Input 2 7 7 3 2 2" xfId="24560" xr:uid="{00000000-0005-0000-0000-0000D7240000}"/>
    <cellStyle name="Input 2 7 7 3 3" xfId="15501" xr:uid="{00000000-0005-0000-0000-0000D8240000}"/>
    <cellStyle name="Input 2 7 7 3 3 2" xfId="30333" xr:uid="{00000000-0005-0000-0000-0000D9240000}"/>
    <cellStyle name="Input 2 7 7 3 4" xfId="22067" xr:uid="{00000000-0005-0000-0000-0000DA240000}"/>
    <cellStyle name="Input 2 7 7 4" xfId="4213" xr:uid="{00000000-0005-0000-0000-0000DB240000}"/>
    <cellStyle name="Input 2 7 7 4 2" xfId="8254" xr:uid="{00000000-0005-0000-0000-0000DC240000}"/>
    <cellStyle name="Input 2 7 7 4 2 2" xfId="23949" xr:uid="{00000000-0005-0000-0000-0000DD240000}"/>
    <cellStyle name="Input 2 7 7 4 3" xfId="14545" xr:uid="{00000000-0005-0000-0000-0000DE240000}"/>
    <cellStyle name="Input 2 7 7 4 3 2" xfId="29377" xr:uid="{00000000-0005-0000-0000-0000DF240000}"/>
    <cellStyle name="Input 2 7 7 4 4" xfId="21574" xr:uid="{00000000-0005-0000-0000-0000E0240000}"/>
    <cellStyle name="Input 2 7 7 5" xfId="6329" xr:uid="{00000000-0005-0000-0000-0000E1240000}"/>
    <cellStyle name="Input 2 7 7 5 2" xfId="22731" xr:uid="{00000000-0005-0000-0000-0000E2240000}"/>
    <cellStyle name="Input 2 7 7 6" xfId="12583" xr:uid="{00000000-0005-0000-0000-0000E3240000}"/>
    <cellStyle name="Input 2 7 7 6 2" xfId="27415" xr:uid="{00000000-0005-0000-0000-0000E4240000}"/>
    <cellStyle name="Input 2 7 7 7" xfId="20410" xr:uid="{00000000-0005-0000-0000-0000E5240000}"/>
    <cellStyle name="Input 2 7 8" xfId="4273" xr:uid="{00000000-0005-0000-0000-0000E6240000}"/>
    <cellStyle name="Input 2 7 8 2" xfId="8312" xr:uid="{00000000-0005-0000-0000-0000E7240000}"/>
    <cellStyle name="Input 2 7 8 2 2" xfId="24006" xr:uid="{00000000-0005-0000-0000-0000E8240000}"/>
    <cellStyle name="Input 2 7 8 3" xfId="14605" xr:uid="{00000000-0005-0000-0000-0000E9240000}"/>
    <cellStyle name="Input 2 7 8 3 2" xfId="29437" xr:uid="{00000000-0005-0000-0000-0000EA240000}"/>
    <cellStyle name="Input 2 7 8 4" xfId="21606" xr:uid="{00000000-0005-0000-0000-0000EB240000}"/>
    <cellStyle name="Input 2 7 9" xfId="3145" xr:uid="{00000000-0005-0000-0000-0000EC240000}"/>
    <cellStyle name="Input 2 7 9 2" xfId="7209" xr:uid="{00000000-0005-0000-0000-0000ED240000}"/>
    <cellStyle name="Input 2 7 9 2 2" xfId="23278" xr:uid="{00000000-0005-0000-0000-0000EE240000}"/>
    <cellStyle name="Input 2 7 9 3" xfId="13483" xr:uid="{00000000-0005-0000-0000-0000EF240000}"/>
    <cellStyle name="Input 2 7 9 3 2" xfId="28315" xr:uid="{00000000-0005-0000-0000-0000F0240000}"/>
    <cellStyle name="Input 2 7 9 4" xfId="20969" xr:uid="{00000000-0005-0000-0000-0000F1240000}"/>
    <cellStyle name="Input 2 8" xfId="1119" xr:uid="{00000000-0005-0000-0000-0000F2240000}"/>
    <cellStyle name="Input 2 8 10" xfId="2290" xr:uid="{00000000-0005-0000-0000-0000F3240000}"/>
    <cellStyle name="Input 2 8 10 2" xfId="6402" xr:uid="{00000000-0005-0000-0000-0000F4240000}"/>
    <cellStyle name="Input 2 8 10 2 2" xfId="22804" xr:uid="{00000000-0005-0000-0000-0000F5240000}"/>
    <cellStyle name="Input 2 8 10 3" xfId="12630" xr:uid="{00000000-0005-0000-0000-0000F6240000}"/>
    <cellStyle name="Input 2 8 10 3 2" xfId="27462" xr:uid="{00000000-0005-0000-0000-0000F7240000}"/>
    <cellStyle name="Input 2 8 10 4" xfId="20456" xr:uid="{00000000-0005-0000-0000-0000F8240000}"/>
    <cellStyle name="Input 2 8 11" xfId="5256" xr:uid="{00000000-0005-0000-0000-0000F9240000}"/>
    <cellStyle name="Input 2 8 11 2" xfId="15572" xr:uid="{00000000-0005-0000-0000-0000FA240000}"/>
    <cellStyle name="Input 2 8 11 2 2" xfId="30404" xr:uid="{00000000-0005-0000-0000-0000FB240000}"/>
    <cellStyle name="Input 2 8 11 3" xfId="22113" xr:uid="{00000000-0005-0000-0000-0000FC240000}"/>
    <cellStyle name="Input 2 8 12" xfId="5414" xr:uid="{00000000-0005-0000-0000-0000FD240000}"/>
    <cellStyle name="Input 2 8 12 2" xfId="15650" xr:uid="{00000000-0005-0000-0000-0000FE240000}"/>
    <cellStyle name="Input 2 8 12 2 2" xfId="30482" xr:uid="{00000000-0005-0000-0000-0000FF240000}"/>
    <cellStyle name="Input 2 8 12 3" xfId="22175" xr:uid="{00000000-0005-0000-0000-000000250000}"/>
    <cellStyle name="Input 2 8 13" xfId="9377" xr:uid="{00000000-0005-0000-0000-000001250000}"/>
    <cellStyle name="Input 2 8 13 2" xfId="24683" xr:uid="{00000000-0005-0000-0000-000002250000}"/>
    <cellStyle name="Input 2 8 14" xfId="5366" xr:uid="{00000000-0005-0000-0000-000003250000}"/>
    <cellStyle name="Input 2 8 14 2" xfId="18240" xr:uid="{00000000-0005-0000-0000-000004250000}"/>
    <cellStyle name="Input 2 8 2" xfId="1326" xr:uid="{00000000-0005-0000-0000-000005250000}"/>
    <cellStyle name="Input 2 8 2 2" xfId="1830" xr:uid="{00000000-0005-0000-0000-000006250000}"/>
    <cellStyle name="Input 2 8 2 2 2" xfId="3843" xr:uid="{00000000-0005-0000-0000-000007250000}"/>
    <cellStyle name="Input 2 8 2 2 2 2" xfId="7896" xr:uid="{00000000-0005-0000-0000-000008250000}"/>
    <cellStyle name="Input 2 8 2 2 2 2 2" xfId="23733" xr:uid="{00000000-0005-0000-0000-000009250000}"/>
    <cellStyle name="Input 2 8 2 2 2 3" xfId="14178" xr:uid="{00000000-0005-0000-0000-00000A250000}"/>
    <cellStyle name="Input 2 8 2 2 2 3 2" xfId="29010" xr:uid="{00000000-0005-0000-0000-00000B250000}"/>
    <cellStyle name="Input 2 8 2 2 2 4" xfId="21380" xr:uid="{00000000-0005-0000-0000-00000C250000}"/>
    <cellStyle name="Input 2 8 2 2 3" xfId="4808" xr:uid="{00000000-0005-0000-0000-00000D250000}"/>
    <cellStyle name="Input 2 8 2 2 3 2" xfId="8847" xr:uid="{00000000-0005-0000-0000-00000E250000}"/>
    <cellStyle name="Input 2 8 2 2 3 2 2" xfId="24345" xr:uid="{00000000-0005-0000-0000-00000F250000}"/>
    <cellStyle name="Input 2 8 2 2 3 3" xfId="15132" xr:uid="{00000000-0005-0000-0000-000010250000}"/>
    <cellStyle name="Input 2 8 2 2 3 3 2" xfId="29964" xr:uid="{00000000-0005-0000-0000-000011250000}"/>
    <cellStyle name="Input 2 8 2 2 3 4" xfId="21883" xr:uid="{00000000-0005-0000-0000-000012250000}"/>
    <cellStyle name="Input 2 8 2 2 4" xfId="2798" xr:uid="{00000000-0005-0000-0000-000013250000}"/>
    <cellStyle name="Input 2 8 2 2 4 2" xfId="6889" xr:uid="{00000000-0005-0000-0000-000014250000}"/>
    <cellStyle name="Input 2 8 2 2 4 2 2" xfId="23096" xr:uid="{00000000-0005-0000-0000-000015250000}"/>
    <cellStyle name="Input 2 8 2 2 4 3" xfId="13136" xr:uid="{00000000-0005-0000-0000-000016250000}"/>
    <cellStyle name="Input 2 8 2 2 4 3 2" xfId="27968" xr:uid="{00000000-0005-0000-0000-000017250000}"/>
    <cellStyle name="Input 2 8 2 2 4 4" xfId="20756" xr:uid="{00000000-0005-0000-0000-000018250000}"/>
    <cellStyle name="Input 2 8 2 2 5" xfId="5962" xr:uid="{00000000-0005-0000-0000-000019250000}"/>
    <cellStyle name="Input 2 8 2 2 5 2" xfId="16154" xr:uid="{00000000-0005-0000-0000-00001A250000}"/>
    <cellStyle name="Input 2 8 2 2 5 2 2" xfId="30986" xr:uid="{00000000-0005-0000-0000-00001B250000}"/>
    <cellStyle name="Input 2 8 2 2 5 3" xfId="22527" xr:uid="{00000000-0005-0000-0000-00001C250000}"/>
    <cellStyle name="Input 2 8 2 2 6" xfId="12224" xr:uid="{00000000-0005-0000-0000-00001D250000}"/>
    <cellStyle name="Input 2 8 2 2 6 2" xfId="27056" xr:uid="{00000000-0005-0000-0000-00001E250000}"/>
    <cellStyle name="Input 2 8 2 2 7" xfId="9820" xr:uid="{00000000-0005-0000-0000-00001F250000}"/>
    <cellStyle name="Input 2 8 2 2 7 2" xfId="20071" xr:uid="{00000000-0005-0000-0000-000020250000}"/>
    <cellStyle name="Input 2 8 2 3" xfId="4090" xr:uid="{00000000-0005-0000-0000-000021250000}"/>
    <cellStyle name="Input 2 8 2 3 2" xfId="8136" xr:uid="{00000000-0005-0000-0000-000022250000}"/>
    <cellStyle name="Input 2 8 2 3 2 2" xfId="23884" xr:uid="{00000000-0005-0000-0000-000023250000}"/>
    <cellStyle name="Input 2 8 2 3 3" xfId="14422" xr:uid="{00000000-0005-0000-0000-000024250000}"/>
    <cellStyle name="Input 2 8 2 3 3 2" xfId="29254" xr:uid="{00000000-0005-0000-0000-000025250000}"/>
    <cellStyle name="Input 2 8 2 3 4" xfId="21514" xr:uid="{00000000-0005-0000-0000-000026250000}"/>
    <cellStyle name="Input 2 8 2 4" xfId="4388" xr:uid="{00000000-0005-0000-0000-000027250000}"/>
    <cellStyle name="Input 2 8 2 4 2" xfId="8427" xr:uid="{00000000-0005-0000-0000-000028250000}"/>
    <cellStyle name="Input 2 8 2 4 2 2" xfId="24085" xr:uid="{00000000-0005-0000-0000-000029250000}"/>
    <cellStyle name="Input 2 8 2 4 3" xfId="14717" xr:uid="{00000000-0005-0000-0000-00002A250000}"/>
    <cellStyle name="Input 2 8 2 4 3 2" xfId="29549" xr:uid="{00000000-0005-0000-0000-00002B250000}"/>
    <cellStyle name="Input 2 8 2 4 4" xfId="21653" xr:uid="{00000000-0005-0000-0000-00002C250000}"/>
    <cellStyle name="Input 2 8 2 5" xfId="2378" xr:uid="{00000000-0005-0000-0000-00002D250000}"/>
    <cellStyle name="Input 2 8 2 5 2" xfId="6490" xr:uid="{00000000-0005-0000-0000-00002E250000}"/>
    <cellStyle name="Input 2 8 2 5 2 2" xfId="22860" xr:uid="{00000000-0005-0000-0000-00002F250000}"/>
    <cellStyle name="Input 2 8 2 5 3" xfId="12717" xr:uid="{00000000-0005-0000-0000-000030250000}"/>
    <cellStyle name="Input 2 8 2 5 3 2" xfId="27549" xr:uid="{00000000-0005-0000-0000-000031250000}"/>
    <cellStyle name="Input 2 8 2 5 4" xfId="20502" xr:uid="{00000000-0005-0000-0000-000032250000}"/>
    <cellStyle name="Input 2 8 2 6" xfId="5503" xr:uid="{00000000-0005-0000-0000-000033250000}"/>
    <cellStyle name="Input 2 8 2 6 2" xfId="15738" xr:uid="{00000000-0005-0000-0000-000034250000}"/>
    <cellStyle name="Input 2 8 2 6 2 2" xfId="30570" xr:uid="{00000000-0005-0000-0000-000035250000}"/>
    <cellStyle name="Input 2 8 2 6 3" xfId="22231" xr:uid="{00000000-0005-0000-0000-000036250000}"/>
    <cellStyle name="Input 2 8 2 7" xfId="11753" xr:uid="{00000000-0005-0000-0000-000037250000}"/>
    <cellStyle name="Input 2 8 2 7 2" xfId="26585" xr:uid="{00000000-0005-0000-0000-000038250000}"/>
    <cellStyle name="Input 2 8 2 8" xfId="9424" xr:uid="{00000000-0005-0000-0000-000039250000}"/>
    <cellStyle name="Input 2 8 2 8 2" xfId="19728" xr:uid="{00000000-0005-0000-0000-00003A250000}"/>
    <cellStyle name="Input 2 8 3" xfId="1484" xr:uid="{00000000-0005-0000-0000-00003B250000}"/>
    <cellStyle name="Input 2 8 3 2" xfId="1985" xr:uid="{00000000-0005-0000-0000-00003C250000}"/>
    <cellStyle name="Input 2 8 3 2 2" xfId="3482" xr:uid="{00000000-0005-0000-0000-00003D250000}"/>
    <cellStyle name="Input 2 8 3 2 2 2" xfId="7544" xr:uid="{00000000-0005-0000-0000-00003E250000}"/>
    <cellStyle name="Input 2 8 3 2 2 2 2" xfId="23508" xr:uid="{00000000-0005-0000-0000-00003F250000}"/>
    <cellStyle name="Input 2 8 3 2 2 3" xfId="13819" xr:uid="{00000000-0005-0000-0000-000040250000}"/>
    <cellStyle name="Input 2 8 3 2 2 3 2" xfId="28651" xr:uid="{00000000-0005-0000-0000-000041250000}"/>
    <cellStyle name="Input 2 8 3 2 2 4" xfId="21184" xr:uid="{00000000-0005-0000-0000-000042250000}"/>
    <cellStyle name="Input 2 8 3 2 3" xfId="4949" xr:uid="{00000000-0005-0000-0000-000043250000}"/>
    <cellStyle name="Input 2 8 3 2 3 2" xfId="8988" xr:uid="{00000000-0005-0000-0000-000044250000}"/>
    <cellStyle name="Input 2 8 3 2 3 2 2" xfId="24454" xr:uid="{00000000-0005-0000-0000-000045250000}"/>
    <cellStyle name="Input 2 8 3 2 3 3" xfId="15271" xr:uid="{00000000-0005-0000-0000-000046250000}"/>
    <cellStyle name="Input 2 8 3 2 3 3 2" xfId="30103" xr:uid="{00000000-0005-0000-0000-000047250000}"/>
    <cellStyle name="Input 2 8 3 2 3 4" xfId="21984" xr:uid="{00000000-0005-0000-0000-000048250000}"/>
    <cellStyle name="Input 2 8 3 2 4" xfId="2939" xr:uid="{00000000-0005-0000-0000-000049250000}"/>
    <cellStyle name="Input 2 8 3 2 4 2" xfId="7023" xr:uid="{00000000-0005-0000-0000-00004A250000}"/>
    <cellStyle name="Input 2 8 3 2 4 2 2" xfId="23197" xr:uid="{00000000-0005-0000-0000-00004B250000}"/>
    <cellStyle name="Input 2 8 3 2 4 3" xfId="13277" xr:uid="{00000000-0005-0000-0000-00004C250000}"/>
    <cellStyle name="Input 2 8 3 2 4 3 2" xfId="28109" xr:uid="{00000000-0005-0000-0000-00004D250000}"/>
    <cellStyle name="Input 2 8 3 2 4 4" xfId="20865" xr:uid="{00000000-0005-0000-0000-00004E250000}"/>
    <cellStyle name="Input 2 8 3 2 5" xfId="6115" xr:uid="{00000000-0005-0000-0000-00004F250000}"/>
    <cellStyle name="Input 2 8 3 2 5 2" xfId="16302" xr:uid="{00000000-0005-0000-0000-000050250000}"/>
    <cellStyle name="Input 2 8 3 2 5 2 2" xfId="31134" xr:uid="{00000000-0005-0000-0000-000051250000}"/>
    <cellStyle name="Input 2 8 3 2 5 3" xfId="22648" xr:uid="{00000000-0005-0000-0000-000052250000}"/>
    <cellStyle name="Input 2 8 3 2 6" xfId="12372" xr:uid="{00000000-0005-0000-0000-000053250000}"/>
    <cellStyle name="Input 2 8 3 2 6 2" xfId="27204" xr:uid="{00000000-0005-0000-0000-000054250000}"/>
    <cellStyle name="Input 2 8 3 2 7" xfId="9954" xr:uid="{00000000-0005-0000-0000-000055250000}"/>
    <cellStyle name="Input 2 8 3 2 7 2" xfId="20156" xr:uid="{00000000-0005-0000-0000-000056250000}"/>
    <cellStyle name="Input 2 8 3 3" xfId="3120" xr:uid="{00000000-0005-0000-0000-000057250000}"/>
    <cellStyle name="Input 2 8 3 3 2" xfId="7185" xr:uid="{00000000-0005-0000-0000-000058250000}"/>
    <cellStyle name="Input 2 8 3 3 2 2" xfId="23259" xr:uid="{00000000-0005-0000-0000-000059250000}"/>
    <cellStyle name="Input 2 8 3 3 3" xfId="13458" xr:uid="{00000000-0005-0000-0000-00005A250000}"/>
    <cellStyle name="Input 2 8 3 3 3 2" xfId="28290" xr:uid="{00000000-0005-0000-0000-00005B250000}"/>
    <cellStyle name="Input 2 8 3 3 4" xfId="20949" xr:uid="{00000000-0005-0000-0000-00005C250000}"/>
    <cellStyle name="Input 2 8 3 4" xfId="4529" xr:uid="{00000000-0005-0000-0000-00005D250000}"/>
    <cellStyle name="Input 2 8 3 4 2" xfId="8568" xr:uid="{00000000-0005-0000-0000-00005E250000}"/>
    <cellStyle name="Input 2 8 3 4 2 2" xfId="24194" xr:uid="{00000000-0005-0000-0000-00005F250000}"/>
    <cellStyle name="Input 2 8 3 4 3" xfId="14856" xr:uid="{00000000-0005-0000-0000-000060250000}"/>
    <cellStyle name="Input 2 8 3 4 3 2" xfId="29688" xr:uid="{00000000-0005-0000-0000-000061250000}"/>
    <cellStyle name="Input 2 8 3 4 4" xfId="21754" xr:uid="{00000000-0005-0000-0000-000062250000}"/>
    <cellStyle name="Input 2 8 3 5" xfId="2519" xr:uid="{00000000-0005-0000-0000-000063250000}"/>
    <cellStyle name="Input 2 8 3 5 2" xfId="6625" xr:uid="{00000000-0005-0000-0000-000064250000}"/>
    <cellStyle name="Input 2 8 3 5 2 2" xfId="22963" xr:uid="{00000000-0005-0000-0000-000065250000}"/>
    <cellStyle name="Input 2 8 3 5 3" xfId="12857" xr:uid="{00000000-0005-0000-0000-000066250000}"/>
    <cellStyle name="Input 2 8 3 5 3 2" xfId="27689" xr:uid="{00000000-0005-0000-0000-000067250000}"/>
    <cellStyle name="Input 2 8 3 5 4" xfId="20609" xr:uid="{00000000-0005-0000-0000-000068250000}"/>
    <cellStyle name="Input 2 8 3 6" xfId="5642" xr:uid="{00000000-0005-0000-0000-000069250000}"/>
    <cellStyle name="Input 2 8 3 6 2" xfId="15877" xr:uid="{00000000-0005-0000-0000-00006A250000}"/>
    <cellStyle name="Input 2 8 3 6 2 2" xfId="30709" xr:uid="{00000000-0005-0000-0000-00006B250000}"/>
    <cellStyle name="Input 2 8 3 6 3" xfId="22338" xr:uid="{00000000-0005-0000-0000-00006C250000}"/>
    <cellStyle name="Input 2 8 3 7" xfId="11901" xr:uid="{00000000-0005-0000-0000-00006D250000}"/>
    <cellStyle name="Input 2 8 3 7 2" xfId="26733" xr:uid="{00000000-0005-0000-0000-00006E250000}"/>
    <cellStyle name="Input 2 8 3 8" xfId="9559" xr:uid="{00000000-0005-0000-0000-00006F250000}"/>
    <cellStyle name="Input 2 8 3 8 2" xfId="19861" xr:uid="{00000000-0005-0000-0000-000070250000}"/>
    <cellStyle name="Input 2 8 4" xfId="1396" xr:uid="{00000000-0005-0000-0000-000071250000}"/>
    <cellStyle name="Input 2 8 4 2" xfId="1898" xr:uid="{00000000-0005-0000-0000-000072250000}"/>
    <cellStyle name="Input 2 8 4 2 2" xfId="3519" xr:uid="{00000000-0005-0000-0000-000073250000}"/>
    <cellStyle name="Input 2 8 4 2 2 2" xfId="7581" xr:uid="{00000000-0005-0000-0000-000074250000}"/>
    <cellStyle name="Input 2 8 4 2 2 2 2" xfId="23529" xr:uid="{00000000-0005-0000-0000-000075250000}"/>
    <cellStyle name="Input 2 8 4 2 2 3" xfId="13856" xr:uid="{00000000-0005-0000-0000-000076250000}"/>
    <cellStyle name="Input 2 8 4 2 2 3 2" xfId="28688" xr:uid="{00000000-0005-0000-0000-000077250000}"/>
    <cellStyle name="Input 2 8 4 2 2 4" xfId="21204" xr:uid="{00000000-0005-0000-0000-000078250000}"/>
    <cellStyle name="Input 2 8 4 2 3" xfId="4876" xr:uid="{00000000-0005-0000-0000-000079250000}"/>
    <cellStyle name="Input 2 8 4 2 3 2" xfId="8915" xr:uid="{00000000-0005-0000-0000-00007A250000}"/>
    <cellStyle name="Input 2 8 4 2 3 2 2" xfId="24381" xr:uid="{00000000-0005-0000-0000-00007B250000}"/>
    <cellStyle name="Input 2 8 4 2 3 3" xfId="15199" xr:uid="{00000000-0005-0000-0000-00007C250000}"/>
    <cellStyle name="Input 2 8 4 2 3 3 2" xfId="30031" xr:uid="{00000000-0005-0000-0000-00007D250000}"/>
    <cellStyle name="Input 2 8 4 2 3 4" xfId="21913" xr:uid="{00000000-0005-0000-0000-00007E250000}"/>
    <cellStyle name="Input 2 8 4 2 4" xfId="2866" xr:uid="{00000000-0005-0000-0000-00007F250000}"/>
    <cellStyle name="Input 2 8 4 2 4 2" xfId="6951" xr:uid="{00000000-0005-0000-0000-000080250000}"/>
    <cellStyle name="Input 2 8 4 2 4 2 2" xfId="23126" xr:uid="{00000000-0005-0000-0000-000081250000}"/>
    <cellStyle name="Input 2 8 4 2 4 3" xfId="13204" xr:uid="{00000000-0005-0000-0000-000082250000}"/>
    <cellStyle name="Input 2 8 4 2 4 3 2" xfId="28036" xr:uid="{00000000-0005-0000-0000-000083250000}"/>
    <cellStyle name="Input 2 8 4 2 4 4" xfId="20792" xr:uid="{00000000-0005-0000-0000-000084250000}"/>
    <cellStyle name="Input 2 8 4 2 5" xfId="6029" xr:uid="{00000000-0005-0000-0000-000085250000}"/>
    <cellStyle name="Input 2 8 4 2 5 2" xfId="16216" xr:uid="{00000000-0005-0000-0000-000086250000}"/>
    <cellStyle name="Input 2 8 4 2 5 2 2" xfId="31048" xr:uid="{00000000-0005-0000-0000-000087250000}"/>
    <cellStyle name="Input 2 8 4 2 5 3" xfId="22562" xr:uid="{00000000-0005-0000-0000-000088250000}"/>
    <cellStyle name="Input 2 8 4 2 6" xfId="12286" xr:uid="{00000000-0005-0000-0000-000089250000}"/>
    <cellStyle name="Input 2 8 4 2 6 2" xfId="27118" xr:uid="{00000000-0005-0000-0000-00008A250000}"/>
    <cellStyle name="Input 2 8 4 2 7" xfId="9882" xr:uid="{00000000-0005-0000-0000-00008B250000}"/>
    <cellStyle name="Input 2 8 4 2 7 2" xfId="20086" xr:uid="{00000000-0005-0000-0000-00008C250000}"/>
    <cellStyle name="Input 2 8 4 3" xfId="3774" xr:uid="{00000000-0005-0000-0000-00008D250000}"/>
    <cellStyle name="Input 2 8 4 3 2" xfId="7830" xr:uid="{00000000-0005-0000-0000-00008E250000}"/>
    <cellStyle name="Input 2 8 4 3 2 2" xfId="23686" xr:uid="{00000000-0005-0000-0000-00008F250000}"/>
    <cellStyle name="Input 2 8 4 3 3" xfId="14109" xr:uid="{00000000-0005-0000-0000-000090250000}"/>
    <cellStyle name="Input 2 8 4 3 3 2" xfId="28941" xr:uid="{00000000-0005-0000-0000-000091250000}"/>
    <cellStyle name="Input 2 8 4 3 4" xfId="21342" xr:uid="{00000000-0005-0000-0000-000092250000}"/>
    <cellStyle name="Input 2 8 4 4" xfId="4456" xr:uid="{00000000-0005-0000-0000-000093250000}"/>
    <cellStyle name="Input 2 8 4 4 2" xfId="8495" xr:uid="{00000000-0005-0000-0000-000094250000}"/>
    <cellStyle name="Input 2 8 4 4 2 2" xfId="24121" xr:uid="{00000000-0005-0000-0000-000095250000}"/>
    <cellStyle name="Input 2 8 4 4 3" xfId="14784" xr:uid="{00000000-0005-0000-0000-000096250000}"/>
    <cellStyle name="Input 2 8 4 4 3 2" xfId="29616" xr:uid="{00000000-0005-0000-0000-000097250000}"/>
    <cellStyle name="Input 2 8 4 4 4" xfId="21683" xr:uid="{00000000-0005-0000-0000-000098250000}"/>
    <cellStyle name="Input 2 8 4 5" xfId="2446" xr:uid="{00000000-0005-0000-0000-000099250000}"/>
    <cellStyle name="Input 2 8 4 5 2" xfId="6552" xr:uid="{00000000-0005-0000-0000-00009A250000}"/>
    <cellStyle name="Input 2 8 4 5 2 2" xfId="22890" xr:uid="{00000000-0005-0000-0000-00009B250000}"/>
    <cellStyle name="Input 2 8 4 5 3" xfId="12785" xr:uid="{00000000-0005-0000-0000-00009C250000}"/>
    <cellStyle name="Input 2 8 4 5 3 2" xfId="27617" xr:uid="{00000000-0005-0000-0000-00009D250000}"/>
    <cellStyle name="Input 2 8 4 5 4" xfId="20538" xr:uid="{00000000-0005-0000-0000-00009E250000}"/>
    <cellStyle name="Input 2 8 4 6" xfId="5570" xr:uid="{00000000-0005-0000-0000-00009F250000}"/>
    <cellStyle name="Input 2 8 4 6 2" xfId="15805" xr:uid="{00000000-0005-0000-0000-0000A0250000}"/>
    <cellStyle name="Input 2 8 4 6 2 2" xfId="30637" xr:uid="{00000000-0005-0000-0000-0000A1250000}"/>
    <cellStyle name="Input 2 8 4 6 3" xfId="22266" xr:uid="{00000000-0005-0000-0000-0000A2250000}"/>
    <cellStyle name="Input 2 8 4 7" xfId="11815" xr:uid="{00000000-0005-0000-0000-0000A3250000}"/>
    <cellStyle name="Input 2 8 4 7 2" xfId="26647" xr:uid="{00000000-0005-0000-0000-0000A4250000}"/>
    <cellStyle name="Input 2 8 4 8" xfId="9487" xr:uid="{00000000-0005-0000-0000-0000A5250000}"/>
    <cellStyle name="Input 2 8 4 8 2" xfId="19790" xr:uid="{00000000-0005-0000-0000-0000A6250000}"/>
    <cellStyle name="Input 2 8 5" xfId="1474" xr:uid="{00000000-0005-0000-0000-0000A7250000}"/>
    <cellStyle name="Input 2 8 5 2" xfId="1975" xr:uid="{00000000-0005-0000-0000-0000A8250000}"/>
    <cellStyle name="Input 2 8 5 2 2" xfId="4139" xr:uid="{00000000-0005-0000-0000-0000A9250000}"/>
    <cellStyle name="Input 2 8 5 2 2 2" xfId="8183" xr:uid="{00000000-0005-0000-0000-0000AA250000}"/>
    <cellStyle name="Input 2 8 5 2 2 2 2" xfId="23912" xr:uid="{00000000-0005-0000-0000-0000AB250000}"/>
    <cellStyle name="Input 2 8 5 2 2 3" xfId="14471" xr:uid="{00000000-0005-0000-0000-0000AC250000}"/>
    <cellStyle name="Input 2 8 5 2 2 3 2" xfId="29303" xr:uid="{00000000-0005-0000-0000-0000AD250000}"/>
    <cellStyle name="Input 2 8 5 2 2 4" xfId="21539" xr:uid="{00000000-0005-0000-0000-0000AE250000}"/>
    <cellStyle name="Input 2 8 5 2 3" xfId="4939" xr:uid="{00000000-0005-0000-0000-0000AF250000}"/>
    <cellStyle name="Input 2 8 5 2 3 2" xfId="8978" xr:uid="{00000000-0005-0000-0000-0000B0250000}"/>
    <cellStyle name="Input 2 8 5 2 3 2 2" xfId="24444" xr:uid="{00000000-0005-0000-0000-0000B1250000}"/>
    <cellStyle name="Input 2 8 5 2 3 3" xfId="15261" xr:uid="{00000000-0005-0000-0000-0000B2250000}"/>
    <cellStyle name="Input 2 8 5 2 3 3 2" xfId="30093" xr:uid="{00000000-0005-0000-0000-0000B3250000}"/>
    <cellStyle name="Input 2 8 5 2 3 4" xfId="21974" xr:uid="{00000000-0005-0000-0000-0000B4250000}"/>
    <cellStyle name="Input 2 8 5 2 4" xfId="2929" xr:uid="{00000000-0005-0000-0000-0000B5250000}"/>
    <cellStyle name="Input 2 8 5 2 4 2" xfId="7013" xr:uid="{00000000-0005-0000-0000-0000B6250000}"/>
    <cellStyle name="Input 2 8 5 2 4 2 2" xfId="23187" xr:uid="{00000000-0005-0000-0000-0000B7250000}"/>
    <cellStyle name="Input 2 8 5 2 4 3" xfId="13267" xr:uid="{00000000-0005-0000-0000-0000B8250000}"/>
    <cellStyle name="Input 2 8 5 2 4 3 2" xfId="28099" xr:uid="{00000000-0005-0000-0000-0000B9250000}"/>
    <cellStyle name="Input 2 8 5 2 4 4" xfId="20855" xr:uid="{00000000-0005-0000-0000-0000BA250000}"/>
    <cellStyle name="Input 2 8 5 2 5" xfId="6105" xr:uid="{00000000-0005-0000-0000-0000BB250000}"/>
    <cellStyle name="Input 2 8 5 2 5 2" xfId="16292" xr:uid="{00000000-0005-0000-0000-0000BC250000}"/>
    <cellStyle name="Input 2 8 5 2 5 2 2" xfId="31124" xr:uid="{00000000-0005-0000-0000-0000BD250000}"/>
    <cellStyle name="Input 2 8 5 2 5 3" xfId="22638" xr:uid="{00000000-0005-0000-0000-0000BE250000}"/>
    <cellStyle name="Input 2 8 5 2 6" xfId="12362" xr:uid="{00000000-0005-0000-0000-0000BF250000}"/>
    <cellStyle name="Input 2 8 5 2 6 2" xfId="27194" xr:uid="{00000000-0005-0000-0000-0000C0250000}"/>
    <cellStyle name="Input 2 8 5 2 7" xfId="9944" xr:uid="{00000000-0005-0000-0000-0000C1250000}"/>
    <cellStyle name="Input 2 8 5 2 7 2" xfId="20146" xr:uid="{00000000-0005-0000-0000-0000C2250000}"/>
    <cellStyle name="Input 2 8 5 3" xfId="3305" xr:uid="{00000000-0005-0000-0000-0000C3250000}"/>
    <cellStyle name="Input 2 8 5 3 2" xfId="7369" xr:uid="{00000000-0005-0000-0000-0000C4250000}"/>
    <cellStyle name="Input 2 8 5 3 2 2" xfId="23389" xr:uid="{00000000-0005-0000-0000-0000C5250000}"/>
    <cellStyle name="Input 2 8 5 3 3" xfId="13642" xr:uid="{00000000-0005-0000-0000-0000C6250000}"/>
    <cellStyle name="Input 2 8 5 3 3 2" xfId="28474" xr:uid="{00000000-0005-0000-0000-0000C7250000}"/>
    <cellStyle name="Input 2 8 5 3 4" xfId="21076" xr:uid="{00000000-0005-0000-0000-0000C8250000}"/>
    <cellStyle name="Input 2 8 5 4" xfId="4519" xr:uid="{00000000-0005-0000-0000-0000C9250000}"/>
    <cellStyle name="Input 2 8 5 4 2" xfId="8558" xr:uid="{00000000-0005-0000-0000-0000CA250000}"/>
    <cellStyle name="Input 2 8 5 4 2 2" xfId="24184" xr:uid="{00000000-0005-0000-0000-0000CB250000}"/>
    <cellStyle name="Input 2 8 5 4 3" xfId="14846" xr:uid="{00000000-0005-0000-0000-0000CC250000}"/>
    <cellStyle name="Input 2 8 5 4 3 2" xfId="29678" xr:uid="{00000000-0005-0000-0000-0000CD250000}"/>
    <cellStyle name="Input 2 8 5 4 4" xfId="21744" xr:uid="{00000000-0005-0000-0000-0000CE250000}"/>
    <cellStyle name="Input 2 8 5 5" xfId="2509" xr:uid="{00000000-0005-0000-0000-0000CF250000}"/>
    <cellStyle name="Input 2 8 5 5 2" xfId="6615" xr:uid="{00000000-0005-0000-0000-0000D0250000}"/>
    <cellStyle name="Input 2 8 5 5 2 2" xfId="22953" xr:uid="{00000000-0005-0000-0000-0000D1250000}"/>
    <cellStyle name="Input 2 8 5 5 3" xfId="12847" xr:uid="{00000000-0005-0000-0000-0000D2250000}"/>
    <cellStyle name="Input 2 8 5 5 3 2" xfId="27679" xr:uid="{00000000-0005-0000-0000-0000D3250000}"/>
    <cellStyle name="Input 2 8 5 5 4" xfId="20599" xr:uid="{00000000-0005-0000-0000-0000D4250000}"/>
    <cellStyle name="Input 2 8 5 6" xfId="5632" xr:uid="{00000000-0005-0000-0000-0000D5250000}"/>
    <cellStyle name="Input 2 8 5 6 2" xfId="15867" xr:uid="{00000000-0005-0000-0000-0000D6250000}"/>
    <cellStyle name="Input 2 8 5 6 2 2" xfId="30699" xr:uid="{00000000-0005-0000-0000-0000D7250000}"/>
    <cellStyle name="Input 2 8 5 6 3" xfId="22328" xr:uid="{00000000-0005-0000-0000-0000D8250000}"/>
    <cellStyle name="Input 2 8 5 7" xfId="11891" xr:uid="{00000000-0005-0000-0000-0000D9250000}"/>
    <cellStyle name="Input 2 8 5 7 2" xfId="26723" xr:uid="{00000000-0005-0000-0000-0000DA250000}"/>
    <cellStyle name="Input 2 8 5 8" xfId="9549" xr:uid="{00000000-0005-0000-0000-0000DB250000}"/>
    <cellStyle name="Input 2 8 5 8 2" xfId="19851" xr:uid="{00000000-0005-0000-0000-0000DC250000}"/>
    <cellStyle name="Input 2 8 6" xfId="1752" xr:uid="{00000000-0005-0000-0000-0000DD250000}"/>
    <cellStyle name="Input 2 8 6 2" xfId="4120" xr:uid="{00000000-0005-0000-0000-0000DE250000}"/>
    <cellStyle name="Input 2 8 6 2 2" xfId="8165" xr:uid="{00000000-0005-0000-0000-0000DF250000}"/>
    <cellStyle name="Input 2 8 6 2 2 2" xfId="23903" xr:uid="{00000000-0005-0000-0000-0000E0250000}"/>
    <cellStyle name="Input 2 8 6 2 3" xfId="14452" xr:uid="{00000000-0005-0000-0000-0000E1250000}"/>
    <cellStyle name="Input 2 8 6 2 3 2" xfId="29284" xr:uid="{00000000-0005-0000-0000-0000E2250000}"/>
    <cellStyle name="Input 2 8 6 2 4" xfId="21529" xr:uid="{00000000-0005-0000-0000-0000E3250000}"/>
    <cellStyle name="Input 2 8 6 3" xfId="4730" xr:uid="{00000000-0005-0000-0000-0000E4250000}"/>
    <cellStyle name="Input 2 8 6 3 2" xfId="8769" xr:uid="{00000000-0005-0000-0000-0000E5250000}"/>
    <cellStyle name="Input 2 8 6 3 2 2" xfId="24299" xr:uid="{00000000-0005-0000-0000-0000E6250000}"/>
    <cellStyle name="Input 2 8 6 3 3" xfId="15054" xr:uid="{00000000-0005-0000-0000-0000E7250000}"/>
    <cellStyle name="Input 2 8 6 3 3 2" xfId="29886" xr:uid="{00000000-0005-0000-0000-0000E8250000}"/>
    <cellStyle name="Input 2 8 6 3 4" xfId="21837" xr:uid="{00000000-0005-0000-0000-0000E9250000}"/>
    <cellStyle name="Input 2 8 6 4" xfId="2720" xr:uid="{00000000-0005-0000-0000-0000EA250000}"/>
    <cellStyle name="Input 2 8 6 4 2" xfId="6811" xr:uid="{00000000-0005-0000-0000-0000EB250000}"/>
    <cellStyle name="Input 2 8 6 4 2 2" xfId="23050" xr:uid="{00000000-0005-0000-0000-0000EC250000}"/>
    <cellStyle name="Input 2 8 6 4 3" xfId="13058" xr:uid="{00000000-0005-0000-0000-0000ED250000}"/>
    <cellStyle name="Input 2 8 6 4 3 2" xfId="27890" xr:uid="{00000000-0005-0000-0000-0000EE250000}"/>
    <cellStyle name="Input 2 8 6 4 4" xfId="20710" xr:uid="{00000000-0005-0000-0000-0000EF250000}"/>
    <cellStyle name="Input 2 8 6 5" xfId="5884" xr:uid="{00000000-0005-0000-0000-0000F0250000}"/>
    <cellStyle name="Input 2 8 6 5 2" xfId="16076" xr:uid="{00000000-0005-0000-0000-0000F1250000}"/>
    <cellStyle name="Input 2 8 6 5 2 2" xfId="30908" xr:uid="{00000000-0005-0000-0000-0000F2250000}"/>
    <cellStyle name="Input 2 8 6 5 3" xfId="22481" xr:uid="{00000000-0005-0000-0000-0000F3250000}"/>
    <cellStyle name="Input 2 8 6 6" xfId="12146" xr:uid="{00000000-0005-0000-0000-0000F4250000}"/>
    <cellStyle name="Input 2 8 6 6 2" xfId="26978" xr:uid="{00000000-0005-0000-0000-0000F5250000}"/>
    <cellStyle name="Input 2 8 6 7" xfId="9742" xr:uid="{00000000-0005-0000-0000-0000F6250000}"/>
    <cellStyle name="Input 2 8 6 7 2" xfId="20040" xr:uid="{00000000-0005-0000-0000-0000F7250000}"/>
    <cellStyle name="Input 2 8 7" xfId="2214" xr:uid="{00000000-0005-0000-0000-0000F8250000}"/>
    <cellStyle name="Input 2 8 7 2" xfId="3500" xr:uid="{00000000-0005-0000-0000-0000F9250000}"/>
    <cellStyle name="Input 2 8 7 2 2" xfId="7562" xr:uid="{00000000-0005-0000-0000-0000FA250000}"/>
    <cellStyle name="Input 2 8 7 2 2 2" xfId="23516" xr:uid="{00000000-0005-0000-0000-0000FB250000}"/>
    <cellStyle name="Input 2 8 7 2 3" xfId="13837" xr:uid="{00000000-0005-0000-0000-0000FC250000}"/>
    <cellStyle name="Input 2 8 7 2 3 2" xfId="28669" xr:uid="{00000000-0005-0000-0000-0000FD250000}"/>
    <cellStyle name="Input 2 8 7 2 4" xfId="21191" xr:uid="{00000000-0005-0000-0000-0000FE250000}"/>
    <cellStyle name="Input 2 8 7 3" xfId="5182" xr:uid="{00000000-0005-0000-0000-0000FF250000}"/>
    <cellStyle name="Input 2 8 7 3 2" xfId="9221" xr:uid="{00000000-0005-0000-0000-000000260000}"/>
    <cellStyle name="Input 2 8 7 3 2 2" xfId="24559" xr:uid="{00000000-0005-0000-0000-000001260000}"/>
    <cellStyle name="Input 2 8 7 3 3" xfId="15500" xr:uid="{00000000-0005-0000-0000-000002260000}"/>
    <cellStyle name="Input 2 8 7 3 3 2" xfId="30332" xr:uid="{00000000-0005-0000-0000-000003260000}"/>
    <cellStyle name="Input 2 8 7 3 4" xfId="22066" xr:uid="{00000000-0005-0000-0000-000004260000}"/>
    <cellStyle name="Input 2 8 7 4" xfId="4212" xr:uid="{00000000-0005-0000-0000-000005260000}"/>
    <cellStyle name="Input 2 8 7 4 2" xfId="8253" xr:uid="{00000000-0005-0000-0000-000006260000}"/>
    <cellStyle name="Input 2 8 7 4 2 2" xfId="23948" xr:uid="{00000000-0005-0000-0000-000007260000}"/>
    <cellStyle name="Input 2 8 7 4 3" xfId="14544" xr:uid="{00000000-0005-0000-0000-000008260000}"/>
    <cellStyle name="Input 2 8 7 4 3 2" xfId="29376" xr:uid="{00000000-0005-0000-0000-000009260000}"/>
    <cellStyle name="Input 2 8 7 4 4" xfId="21573" xr:uid="{00000000-0005-0000-0000-00000A260000}"/>
    <cellStyle name="Input 2 8 7 5" xfId="6328" xr:uid="{00000000-0005-0000-0000-00000B260000}"/>
    <cellStyle name="Input 2 8 7 5 2" xfId="22730" xr:uid="{00000000-0005-0000-0000-00000C260000}"/>
    <cellStyle name="Input 2 8 7 6" xfId="12582" xr:uid="{00000000-0005-0000-0000-00000D260000}"/>
    <cellStyle name="Input 2 8 7 6 2" xfId="27414" xr:uid="{00000000-0005-0000-0000-00000E260000}"/>
    <cellStyle name="Input 2 8 7 7" xfId="20409" xr:uid="{00000000-0005-0000-0000-00000F260000}"/>
    <cellStyle name="Input 2 8 8" xfId="4293" xr:uid="{00000000-0005-0000-0000-000010260000}"/>
    <cellStyle name="Input 2 8 8 2" xfId="8332" xr:uid="{00000000-0005-0000-0000-000011260000}"/>
    <cellStyle name="Input 2 8 8 2 2" xfId="24020" xr:uid="{00000000-0005-0000-0000-000012260000}"/>
    <cellStyle name="Input 2 8 8 3" xfId="14624" xr:uid="{00000000-0005-0000-0000-000013260000}"/>
    <cellStyle name="Input 2 8 8 3 2" xfId="29456" xr:uid="{00000000-0005-0000-0000-000014260000}"/>
    <cellStyle name="Input 2 8 8 4" xfId="21617" xr:uid="{00000000-0005-0000-0000-000015260000}"/>
    <cellStyle name="Input 2 8 9" xfId="3216" xr:uid="{00000000-0005-0000-0000-000016260000}"/>
    <cellStyle name="Input 2 8 9 2" xfId="7280" xr:uid="{00000000-0005-0000-0000-000017260000}"/>
    <cellStyle name="Input 2 8 9 2 2" xfId="23325" xr:uid="{00000000-0005-0000-0000-000018260000}"/>
    <cellStyle name="Input 2 8 9 3" xfId="13554" xr:uid="{00000000-0005-0000-0000-000019260000}"/>
    <cellStyle name="Input 2 8 9 3 2" xfId="28386" xr:uid="{00000000-0005-0000-0000-00001A260000}"/>
    <cellStyle name="Input 2 8 9 4" xfId="21014" xr:uid="{00000000-0005-0000-0000-00001B260000}"/>
    <cellStyle name="Input 2 9" xfId="1319" xr:uid="{00000000-0005-0000-0000-00001C260000}"/>
    <cellStyle name="Input 2 9 2" xfId="1823" xr:uid="{00000000-0005-0000-0000-00001D260000}"/>
    <cellStyle name="Input 2 9 2 2" xfId="3434" xr:uid="{00000000-0005-0000-0000-00001E260000}"/>
    <cellStyle name="Input 2 9 2 2 2" xfId="7497" xr:uid="{00000000-0005-0000-0000-00001F260000}"/>
    <cellStyle name="Input 2 9 2 2 2 2" xfId="23474" xr:uid="{00000000-0005-0000-0000-000020260000}"/>
    <cellStyle name="Input 2 9 2 2 3" xfId="13771" xr:uid="{00000000-0005-0000-0000-000021260000}"/>
    <cellStyle name="Input 2 9 2 2 3 2" xfId="28603" xr:uid="{00000000-0005-0000-0000-000022260000}"/>
    <cellStyle name="Input 2 9 2 2 4" xfId="21150" xr:uid="{00000000-0005-0000-0000-000023260000}"/>
    <cellStyle name="Input 2 9 2 3" xfId="4801" xr:uid="{00000000-0005-0000-0000-000024260000}"/>
    <cellStyle name="Input 2 9 2 3 2" xfId="8840" xr:uid="{00000000-0005-0000-0000-000025260000}"/>
    <cellStyle name="Input 2 9 2 3 2 2" xfId="24338" xr:uid="{00000000-0005-0000-0000-000026260000}"/>
    <cellStyle name="Input 2 9 2 3 3" xfId="15125" xr:uid="{00000000-0005-0000-0000-000027260000}"/>
    <cellStyle name="Input 2 9 2 3 3 2" xfId="29957" xr:uid="{00000000-0005-0000-0000-000028260000}"/>
    <cellStyle name="Input 2 9 2 3 4" xfId="21876" xr:uid="{00000000-0005-0000-0000-000029260000}"/>
    <cellStyle name="Input 2 9 2 4" xfId="2791" xr:uid="{00000000-0005-0000-0000-00002A260000}"/>
    <cellStyle name="Input 2 9 2 4 2" xfId="6882" xr:uid="{00000000-0005-0000-0000-00002B260000}"/>
    <cellStyle name="Input 2 9 2 4 2 2" xfId="23089" xr:uid="{00000000-0005-0000-0000-00002C260000}"/>
    <cellStyle name="Input 2 9 2 4 3" xfId="13129" xr:uid="{00000000-0005-0000-0000-00002D260000}"/>
    <cellStyle name="Input 2 9 2 4 3 2" xfId="27961" xr:uid="{00000000-0005-0000-0000-00002E260000}"/>
    <cellStyle name="Input 2 9 2 4 4" xfId="20749" xr:uid="{00000000-0005-0000-0000-00002F260000}"/>
    <cellStyle name="Input 2 9 2 5" xfId="5955" xr:uid="{00000000-0005-0000-0000-000030260000}"/>
    <cellStyle name="Input 2 9 2 5 2" xfId="16147" xr:uid="{00000000-0005-0000-0000-000031260000}"/>
    <cellStyle name="Input 2 9 2 5 2 2" xfId="30979" xr:uid="{00000000-0005-0000-0000-000032260000}"/>
    <cellStyle name="Input 2 9 2 5 3" xfId="22520" xr:uid="{00000000-0005-0000-0000-000033260000}"/>
    <cellStyle name="Input 2 9 2 6" xfId="12217" xr:uid="{00000000-0005-0000-0000-000034260000}"/>
    <cellStyle name="Input 2 9 2 6 2" xfId="27049" xr:uid="{00000000-0005-0000-0000-000035260000}"/>
    <cellStyle name="Input 2 9 2 7" xfId="9813" xr:uid="{00000000-0005-0000-0000-000036260000}"/>
    <cellStyle name="Input 2 9 2 7 2" xfId="20064" xr:uid="{00000000-0005-0000-0000-000037260000}"/>
    <cellStyle name="Input 2 9 3" xfId="3608" xr:uid="{00000000-0005-0000-0000-000038260000}"/>
    <cellStyle name="Input 2 9 3 2" xfId="7669" xr:uid="{00000000-0005-0000-0000-000039260000}"/>
    <cellStyle name="Input 2 9 3 2 2" xfId="23579" xr:uid="{00000000-0005-0000-0000-00003A260000}"/>
    <cellStyle name="Input 2 9 3 3" xfId="13944" xr:uid="{00000000-0005-0000-0000-00003B260000}"/>
    <cellStyle name="Input 2 9 3 3 2" xfId="28776" xr:uid="{00000000-0005-0000-0000-00003C260000}"/>
    <cellStyle name="Input 2 9 3 4" xfId="21248" xr:uid="{00000000-0005-0000-0000-00003D260000}"/>
    <cellStyle name="Input 2 9 4" xfId="4381" xr:uid="{00000000-0005-0000-0000-00003E260000}"/>
    <cellStyle name="Input 2 9 4 2" xfId="8420" xr:uid="{00000000-0005-0000-0000-00003F260000}"/>
    <cellStyle name="Input 2 9 4 2 2" xfId="24078" xr:uid="{00000000-0005-0000-0000-000040260000}"/>
    <cellStyle name="Input 2 9 4 3" xfId="14710" xr:uid="{00000000-0005-0000-0000-000041260000}"/>
    <cellStyle name="Input 2 9 4 3 2" xfId="29542" xr:uid="{00000000-0005-0000-0000-000042260000}"/>
    <cellStyle name="Input 2 9 4 4" xfId="21646" xr:uid="{00000000-0005-0000-0000-000043260000}"/>
    <cellStyle name="Input 2 9 5" xfId="2371" xr:uid="{00000000-0005-0000-0000-000044260000}"/>
    <cellStyle name="Input 2 9 5 2" xfId="6483" xr:uid="{00000000-0005-0000-0000-000045260000}"/>
    <cellStyle name="Input 2 9 5 2 2" xfId="22853" xr:uid="{00000000-0005-0000-0000-000046260000}"/>
    <cellStyle name="Input 2 9 5 3" xfId="12710" xr:uid="{00000000-0005-0000-0000-000047260000}"/>
    <cellStyle name="Input 2 9 5 3 2" xfId="27542" xr:uid="{00000000-0005-0000-0000-000048260000}"/>
    <cellStyle name="Input 2 9 5 4" xfId="20495" xr:uid="{00000000-0005-0000-0000-000049260000}"/>
    <cellStyle name="Input 2 9 6" xfId="5496" xr:uid="{00000000-0005-0000-0000-00004A260000}"/>
    <cellStyle name="Input 2 9 6 2" xfId="15731" xr:uid="{00000000-0005-0000-0000-00004B260000}"/>
    <cellStyle name="Input 2 9 6 2 2" xfId="30563" xr:uid="{00000000-0005-0000-0000-00004C260000}"/>
    <cellStyle name="Input 2 9 6 3" xfId="22224" xr:uid="{00000000-0005-0000-0000-00004D260000}"/>
    <cellStyle name="Input 2 9 7" xfId="11746" xr:uid="{00000000-0005-0000-0000-00004E260000}"/>
    <cellStyle name="Input 2 9 7 2" xfId="26578" xr:uid="{00000000-0005-0000-0000-00004F260000}"/>
    <cellStyle name="Input 2 9 8" xfId="9417" xr:uid="{00000000-0005-0000-0000-000050260000}"/>
    <cellStyle name="Input 2 9 8 2" xfId="19721" xr:uid="{00000000-0005-0000-0000-000051260000}"/>
    <cellStyle name="Input 3" xfId="1120" xr:uid="{00000000-0005-0000-0000-000052260000}"/>
    <cellStyle name="Input 3 10" xfId="2291" xr:uid="{00000000-0005-0000-0000-000053260000}"/>
    <cellStyle name="Input 3 10 2" xfId="6403" xr:uid="{00000000-0005-0000-0000-000054260000}"/>
    <cellStyle name="Input 3 10 2 2" xfId="22805" xr:uid="{00000000-0005-0000-0000-000055260000}"/>
    <cellStyle name="Input 3 10 3" xfId="12631" xr:uid="{00000000-0005-0000-0000-000056260000}"/>
    <cellStyle name="Input 3 10 3 2" xfId="27463" xr:uid="{00000000-0005-0000-0000-000057260000}"/>
    <cellStyle name="Input 3 10 4" xfId="20457" xr:uid="{00000000-0005-0000-0000-000058260000}"/>
    <cellStyle name="Input 3 11" xfId="5257" xr:uid="{00000000-0005-0000-0000-000059260000}"/>
    <cellStyle name="Input 3 11 2" xfId="15573" xr:uid="{00000000-0005-0000-0000-00005A260000}"/>
    <cellStyle name="Input 3 11 2 2" xfId="30405" xr:uid="{00000000-0005-0000-0000-00005B260000}"/>
    <cellStyle name="Input 3 11 3" xfId="22114" xr:uid="{00000000-0005-0000-0000-00005C260000}"/>
    <cellStyle name="Input 3 12" xfId="5415" xr:uid="{00000000-0005-0000-0000-00005D260000}"/>
    <cellStyle name="Input 3 12 2" xfId="15651" xr:uid="{00000000-0005-0000-0000-00005E260000}"/>
    <cellStyle name="Input 3 12 2 2" xfId="30483" xr:uid="{00000000-0005-0000-0000-00005F260000}"/>
    <cellStyle name="Input 3 12 3" xfId="22176" xr:uid="{00000000-0005-0000-0000-000060260000}"/>
    <cellStyle name="Input 3 13" xfId="9376" xr:uid="{00000000-0005-0000-0000-000061260000}"/>
    <cellStyle name="Input 3 13 2" xfId="24682" xr:uid="{00000000-0005-0000-0000-000062260000}"/>
    <cellStyle name="Input 3 14" xfId="5365" xr:uid="{00000000-0005-0000-0000-000063260000}"/>
    <cellStyle name="Input 3 14 2" xfId="18239" xr:uid="{00000000-0005-0000-0000-000064260000}"/>
    <cellStyle name="Input 3 2" xfId="1327" xr:uid="{00000000-0005-0000-0000-000065260000}"/>
    <cellStyle name="Input 3 2 2" xfId="1831" xr:uid="{00000000-0005-0000-0000-000066260000}"/>
    <cellStyle name="Input 3 2 2 2" xfId="3785" xr:uid="{00000000-0005-0000-0000-000067260000}"/>
    <cellStyle name="Input 3 2 2 2 2" xfId="7840" xr:uid="{00000000-0005-0000-0000-000068260000}"/>
    <cellStyle name="Input 3 2 2 2 2 2" xfId="23696" xr:uid="{00000000-0005-0000-0000-000069260000}"/>
    <cellStyle name="Input 3 2 2 2 3" xfId="14120" xr:uid="{00000000-0005-0000-0000-00006A260000}"/>
    <cellStyle name="Input 3 2 2 2 3 2" xfId="28952" xr:uid="{00000000-0005-0000-0000-00006B260000}"/>
    <cellStyle name="Input 3 2 2 2 4" xfId="21348" xr:uid="{00000000-0005-0000-0000-00006C260000}"/>
    <cellStyle name="Input 3 2 2 3" xfId="4809" xr:uid="{00000000-0005-0000-0000-00006D260000}"/>
    <cellStyle name="Input 3 2 2 3 2" xfId="8848" xr:uid="{00000000-0005-0000-0000-00006E260000}"/>
    <cellStyle name="Input 3 2 2 3 2 2" xfId="24346" xr:uid="{00000000-0005-0000-0000-00006F260000}"/>
    <cellStyle name="Input 3 2 2 3 3" xfId="15133" xr:uid="{00000000-0005-0000-0000-000070260000}"/>
    <cellStyle name="Input 3 2 2 3 3 2" xfId="29965" xr:uid="{00000000-0005-0000-0000-000071260000}"/>
    <cellStyle name="Input 3 2 2 3 4" xfId="21884" xr:uid="{00000000-0005-0000-0000-000072260000}"/>
    <cellStyle name="Input 3 2 2 4" xfId="2799" xr:uid="{00000000-0005-0000-0000-000073260000}"/>
    <cellStyle name="Input 3 2 2 4 2" xfId="6890" xr:uid="{00000000-0005-0000-0000-000074260000}"/>
    <cellStyle name="Input 3 2 2 4 2 2" xfId="23097" xr:uid="{00000000-0005-0000-0000-000075260000}"/>
    <cellStyle name="Input 3 2 2 4 3" xfId="13137" xr:uid="{00000000-0005-0000-0000-000076260000}"/>
    <cellStyle name="Input 3 2 2 4 3 2" xfId="27969" xr:uid="{00000000-0005-0000-0000-000077260000}"/>
    <cellStyle name="Input 3 2 2 4 4" xfId="20757" xr:uid="{00000000-0005-0000-0000-000078260000}"/>
    <cellStyle name="Input 3 2 2 5" xfId="5963" xr:uid="{00000000-0005-0000-0000-000079260000}"/>
    <cellStyle name="Input 3 2 2 5 2" xfId="16155" xr:uid="{00000000-0005-0000-0000-00007A260000}"/>
    <cellStyle name="Input 3 2 2 5 2 2" xfId="30987" xr:uid="{00000000-0005-0000-0000-00007B260000}"/>
    <cellStyle name="Input 3 2 2 5 3" xfId="22528" xr:uid="{00000000-0005-0000-0000-00007C260000}"/>
    <cellStyle name="Input 3 2 2 6" xfId="12225" xr:uid="{00000000-0005-0000-0000-00007D260000}"/>
    <cellStyle name="Input 3 2 2 6 2" xfId="27057" xr:uid="{00000000-0005-0000-0000-00007E260000}"/>
    <cellStyle name="Input 3 2 2 7" xfId="9821" xr:uid="{00000000-0005-0000-0000-00007F260000}"/>
    <cellStyle name="Input 3 2 2 7 2" xfId="20072" xr:uid="{00000000-0005-0000-0000-000080260000}"/>
    <cellStyle name="Input 3 2 3" xfId="3440" xr:uid="{00000000-0005-0000-0000-000081260000}"/>
    <cellStyle name="Input 3 2 3 2" xfId="7503" xr:uid="{00000000-0005-0000-0000-000082260000}"/>
    <cellStyle name="Input 3 2 3 2 2" xfId="23477" xr:uid="{00000000-0005-0000-0000-000083260000}"/>
    <cellStyle name="Input 3 2 3 3" xfId="13777" xr:uid="{00000000-0005-0000-0000-000084260000}"/>
    <cellStyle name="Input 3 2 3 3 2" xfId="28609" xr:uid="{00000000-0005-0000-0000-000085260000}"/>
    <cellStyle name="Input 3 2 3 4" xfId="21153" xr:uid="{00000000-0005-0000-0000-000086260000}"/>
    <cellStyle name="Input 3 2 4" xfId="4389" xr:uid="{00000000-0005-0000-0000-000087260000}"/>
    <cellStyle name="Input 3 2 4 2" xfId="8428" xr:uid="{00000000-0005-0000-0000-000088260000}"/>
    <cellStyle name="Input 3 2 4 2 2" xfId="24086" xr:uid="{00000000-0005-0000-0000-000089260000}"/>
    <cellStyle name="Input 3 2 4 3" xfId="14718" xr:uid="{00000000-0005-0000-0000-00008A260000}"/>
    <cellStyle name="Input 3 2 4 3 2" xfId="29550" xr:uid="{00000000-0005-0000-0000-00008B260000}"/>
    <cellStyle name="Input 3 2 4 4" xfId="21654" xr:uid="{00000000-0005-0000-0000-00008C260000}"/>
    <cellStyle name="Input 3 2 5" xfId="2379" xr:uid="{00000000-0005-0000-0000-00008D260000}"/>
    <cellStyle name="Input 3 2 5 2" xfId="6491" xr:uid="{00000000-0005-0000-0000-00008E260000}"/>
    <cellStyle name="Input 3 2 5 2 2" xfId="22861" xr:uid="{00000000-0005-0000-0000-00008F260000}"/>
    <cellStyle name="Input 3 2 5 3" xfId="12718" xr:uid="{00000000-0005-0000-0000-000090260000}"/>
    <cellStyle name="Input 3 2 5 3 2" xfId="27550" xr:uid="{00000000-0005-0000-0000-000091260000}"/>
    <cellStyle name="Input 3 2 5 4" xfId="20503" xr:uid="{00000000-0005-0000-0000-000092260000}"/>
    <cellStyle name="Input 3 2 6" xfId="5504" xr:uid="{00000000-0005-0000-0000-000093260000}"/>
    <cellStyle name="Input 3 2 6 2" xfId="15739" xr:uid="{00000000-0005-0000-0000-000094260000}"/>
    <cellStyle name="Input 3 2 6 2 2" xfId="30571" xr:uid="{00000000-0005-0000-0000-000095260000}"/>
    <cellStyle name="Input 3 2 6 3" xfId="22232" xr:uid="{00000000-0005-0000-0000-000096260000}"/>
    <cellStyle name="Input 3 2 7" xfId="11754" xr:uid="{00000000-0005-0000-0000-000097260000}"/>
    <cellStyle name="Input 3 2 7 2" xfId="26586" xr:uid="{00000000-0005-0000-0000-000098260000}"/>
    <cellStyle name="Input 3 2 8" xfId="9425" xr:uid="{00000000-0005-0000-0000-000099260000}"/>
    <cellStyle name="Input 3 2 8 2" xfId="19729" xr:uid="{00000000-0005-0000-0000-00009A260000}"/>
    <cellStyle name="Input 3 3" xfId="1485" xr:uid="{00000000-0005-0000-0000-00009B260000}"/>
    <cellStyle name="Input 3 3 2" xfId="1986" xr:uid="{00000000-0005-0000-0000-00009C260000}"/>
    <cellStyle name="Input 3 3 2 2" xfId="3906" xr:uid="{00000000-0005-0000-0000-00009D260000}"/>
    <cellStyle name="Input 3 3 2 2 2" xfId="7957" xr:uid="{00000000-0005-0000-0000-00009E260000}"/>
    <cellStyle name="Input 3 3 2 2 2 2" xfId="23771" xr:uid="{00000000-0005-0000-0000-00009F260000}"/>
    <cellStyle name="Input 3 3 2 2 3" xfId="14239" xr:uid="{00000000-0005-0000-0000-0000A0260000}"/>
    <cellStyle name="Input 3 3 2 2 3 2" xfId="29071" xr:uid="{00000000-0005-0000-0000-0000A1260000}"/>
    <cellStyle name="Input 3 3 2 2 4" xfId="21412" xr:uid="{00000000-0005-0000-0000-0000A2260000}"/>
    <cellStyle name="Input 3 3 2 3" xfId="4950" xr:uid="{00000000-0005-0000-0000-0000A3260000}"/>
    <cellStyle name="Input 3 3 2 3 2" xfId="8989" xr:uid="{00000000-0005-0000-0000-0000A4260000}"/>
    <cellStyle name="Input 3 3 2 3 2 2" xfId="24455" xr:uid="{00000000-0005-0000-0000-0000A5260000}"/>
    <cellStyle name="Input 3 3 2 3 3" xfId="15272" xr:uid="{00000000-0005-0000-0000-0000A6260000}"/>
    <cellStyle name="Input 3 3 2 3 3 2" xfId="30104" xr:uid="{00000000-0005-0000-0000-0000A7260000}"/>
    <cellStyle name="Input 3 3 2 3 4" xfId="21985" xr:uid="{00000000-0005-0000-0000-0000A8260000}"/>
    <cellStyle name="Input 3 3 2 4" xfId="2940" xr:uid="{00000000-0005-0000-0000-0000A9260000}"/>
    <cellStyle name="Input 3 3 2 4 2" xfId="7024" xr:uid="{00000000-0005-0000-0000-0000AA260000}"/>
    <cellStyle name="Input 3 3 2 4 2 2" xfId="23198" xr:uid="{00000000-0005-0000-0000-0000AB260000}"/>
    <cellStyle name="Input 3 3 2 4 3" xfId="13278" xr:uid="{00000000-0005-0000-0000-0000AC260000}"/>
    <cellStyle name="Input 3 3 2 4 3 2" xfId="28110" xr:uid="{00000000-0005-0000-0000-0000AD260000}"/>
    <cellStyle name="Input 3 3 2 4 4" xfId="20866" xr:uid="{00000000-0005-0000-0000-0000AE260000}"/>
    <cellStyle name="Input 3 3 2 5" xfId="6116" xr:uid="{00000000-0005-0000-0000-0000AF260000}"/>
    <cellStyle name="Input 3 3 2 5 2" xfId="16303" xr:uid="{00000000-0005-0000-0000-0000B0260000}"/>
    <cellStyle name="Input 3 3 2 5 2 2" xfId="31135" xr:uid="{00000000-0005-0000-0000-0000B1260000}"/>
    <cellStyle name="Input 3 3 2 5 3" xfId="22649" xr:uid="{00000000-0005-0000-0000-0000B2260000}"/>
    <cellStyle name="Input 3 3 2 6" xfId="12373" xr:uid="{00000000-0005-0000-0000-0000B3260000}"/>
    <cellStyle name="Input 3 3 2 6 2" xfId="27205" xr:uid="{00000000-0005-0000-0000-0000B4260000}"/>
    <cellStyle name="Input 3 3 2 7" xfId="9955" xr:uid="{00000000-0005-0000-0000-0000B5260000}"/>
    <cellStyle name="Input 3 3 2 7 2" xfId="20157" xr:uid="{00000000-0005-0000-0000-0000B6260000}"/>
    <cellStyle name="Input 3 3 3" xfId="3828" xr:uid="{00000000-0005-0000-0000-0000B7260000}"/>
    <cellStyle name="Input 3 3 3 2" xfId="7881" xr:uid="{00000000-0005-0000-0000-0000B8260000}"/>
    <cellStyle name="Input 3 3 3 2 2" xfId="23724" xr:uid="{00000000-0005-0000-0000-0000B9260000}"/>
    <cellStyle name="Input 3 3 3 3" xfId="14163" xr:uid="{00000000-0005-0000-0000-0000BA260000}"/>
    <cellStyle name="Input 3 3 3 3 2" xfId="28995" xr:uid="{00000000-0005-0000-0000-0000BB260000}"/>
    <cellStyle name="Input 3 3 3 4" xfId="21372" xr:uid="{00000000-0005-0000-0000-0000BC260000}"/>
    <cellStyle name="Input 3 3 4" xfId="4530" xr:uid="{00000000-0005-0000-0000-0000BD260000}"/>
    <cellStyle name="Input 3 3 4 2" xfId="8569" xr:uid="{00000000-0005-0000-0000-0000BE260000}"/>
    <cellStyle name="Input 3 3 4 2 2" xfId="24195" xr:uid="{00000000-0005-0000-0000-0000BF260000}"/>
    <cellStyle name="Input 3 3 4 3" xfId="14857" xr:uid="{00000000-0005-0000-0000-0000C0260000}"/>
    <cellStyle name="Input 3 3 4 3 2" xfId="29689" xr:uid="{00000000-0005-0000-0000-0000C1260000}"/>
    <cellStyle name="Input 3 3 4 4" xfId="21755" xr:uid="{00000000-0005-0000-0000-0000C2260000}"/>
    <cellStyle name="Input 3 3 5" xfId="2520" xr:uid="{00000000-0005-0000-0000-0000C3260000}"/>
    <cellStyle name="Input 3 3 5 2" xfId="6626" xr:uid="{00000000-0005-0000-0000-0000C4260000}"/>
    <cellStyle name="Input 3 3 5 2 2" xfId="22964" xr:uid="{00000000-0005-0000-0000-0000C5260000}"/>
    <cellStyle name="Input 3 3 5 3" xfId="12858" xr:uid="{00000000-0005-0000-0000-0000C6260000}"/>
    <cellStyle name="Input 3 3 5 3 2" xfId="27690" xr:uid="{00000000-0005-0000-0000-0000C7260000}"/>
    <cellStyle name="Input 3 3 5 4" xfId="20610" xr:uid="{00000000-0005-0000-0000-0000C8260000}"/>
    <cellStyle name="Input 3 3 6" xfId="5643" xr:uid="{00000000-0005-0000-0000-0000C9260000}"/>
    <cellStyle name="Input 3 3 6 2" xfId="15878" xr:uid="{00000000-0005-0000-0000-0000CA260000}"/>
    <cellStyle name="Input 3 3 6 2 2" xfId="30710" xr:uid="{00000000-0005-0000-0000-0000CB260000}"/>
    <cellStyle name="Input 3 3 6 3" xfId="22339" xr:uid="{00000000-0005-0000-0000-0000CC260000}"/>
    <cellStyle name="Input 3 3 7" xfId="11902" xr:uid="{00000000-0005-0000-0000-0000CD260000}"/>
    <cellStyle name="Input 3 3 7 2" xfId="26734" xr:uid="{00000000-0005-0000-0000-0000CE260000}"/>
    <cellStyle name="Input 3 3 8" xfId="9560" xr:uid="{00000000-0005-0000-0000-0000CF260000}"/>
    <cellStyle name="Input 3 3 8 2" xfId="19862" xr:uid="{00000000-0005-0000-0000-0000D0260000}"/>
    <cellStyle name="Input 3 4" xfId="1395" xr:uid="{00000000-0005-0000-0000-0000D1260000}"/>
    <cellStyle name="Input 3 4 2" xfId="1897" xr:uid="{00000000-0005-0000-0000-0000D2260000}"/>
    <cellStyle name="Input 3 4 2 2" xfId="3359" xr:uid="{00000000-0005-0000-0000-0000D3260000}"/>
    <cellStyle name="Input 3 4 2 2 2" xfId="7422" xr:uid="{00000000-0005-0000-0000-0000D4260000}"/>
    <cellStyle name="Input 3 4 2 2 2 2" xfId="23423" xr:uid="{00000000-0005-0000-0000-0000D5260000}"/>
    <cellStyle name="Input 3 4 2 2 3" xfId="13696" xr:uid="{00000000-0005-0000-0000-0000D6260000}"/>
    <cellStyle name="Input 3 4 2 2 3 2" xfId="28528" xr:uid="{00000000-0005-0000-0000-0000D7260000}"/>
    <cellStyle name="Input 3 4 2 2 4" xfId="21108" xr:uid="{00000000-0005-0000-0000-0000D8260000}"/>
    <cellStyle name="Input 3 4 2 3" xfId="4875" xr:uid="{00000000-0005-0000-0000-0000D9260000}"/>
    <cellStyle name="Input 3 4 2 3 2" xfId="8914" xr:uid="{00000000-0005-0000-0000-0000DA260000}"/>
    <cellStyle name="Input 3 4 2 3 2 2" xfId="24380" xr:uid="{00000000-0005-0000-0000-0000DB260000}"/>
    <cellStyle name="Input 3 4 2 3 3" xfId="15198" xr:uid="{00000000-0005-0000-0000-0000DC260000}"/>
    <cellStyle name="Input 3 4 2 3 3 2" xfId="30030" xr:uid="{00000000-0005-0000-0000-0000DD260000}"/>
    <cellStyle name="Input 3 4 2 3 4" xfId="21912" xr:uid="{00000000-0005-0000-0000-0000DE260000}"/>
    <cellStyle name="Input 3 4 2 4" xfId="2865" xr:uid="{00000000-0005-0000-0000-0000DF260000}"/>
    <cellStyle name="Input 3 4 2 4 2" xfId="6950" xr:uid="{00000000-0005-0000-0000-0000E0260000}"/>
    <cellStyle name="Input 3 4 2 4 2 2" xfId="23125" xr:uid="{00000000-0005-0000-0000-0000E1260000}"/>
    <cellStyle name="Input 3 4 2 4 3" xfId="13203" xr:uid="{00000000-0005-0000-0000-0000E2260000}"/>
    <cellStyle name="Input 3 4 2 4 3 2" xfId="28035" xr:uid="{00000000-0005-0000-0000-0000E3260000}"/>
    <cellStyle name="Input 3 4 2 4 4" xfId="20791" xr:uid="{00000000-0005-0000-0000-0000E4260000}"/>
    <cellStyle name="Input 3 4 2 5" xfId="6028" xr:uid="{00000000-0005-0000-0000-0000E5260000}"/>
    <cellStyle name="Input 3 4 2 5 2" xfId="16215" xr:uid="{00000000-0005-0000-0000-0000E6260000}"/>
    <cellStyle name="Input 3 4 2 5 2 2" xfId="31047" xr:uid="{00000000-0005-0000-0000-0000E7260000}"/>
    <cellStyle name="Input 3 4 2 5 3" xfId="22561" xr:uid="{00000000-0005-0000-0000-0000E8260000}"/>
    <cellStyle name="Input 3 4 2 6" xfId="12285" xr:uid="{00000000-0005-0000-0000-0000E9260000}"/>
    <cellStyle name="Input 3 4 2 6 2" xfId="27117" xr:uid="{00000000-0005-0000-0000-0000EA260000}"/>
    <cellStyle name="Input 3 4 2 7" xfId="9881" xr:uid="{00000000-0005-0000-0000-0000EB260000}"/>
    <cellStyle name="Input 3 4 2 7 2" xfId="20085" xr:uid="{00000000-0005-0000-0000-0000EC260000}"/>
    <cellStyle name="Input 3 4 3" xfId="3741" xr:uid="{00000000-0005-0000-0000-0000ED260000}"/>
    <cellStyle name="Input 3 4 3 2" xfId="7797" xr:uid="{00000000-0005-0000-0000-0000EE260000}"/>
    <cellStyle name="Input 3 4 3 2 2" xfId="23670" xr:uid="{00000000-0005-0000-0000-0000EF260000}"/>
    <cellStyle name="Input 3 4 3 3" xfId="14076" xr:uid="{00000000-0005-0000-0000-0000F0260000}"/>
    <cellStyle name="Input 3 4 3 3 2" xfId="28908" xr:uid="{00000000-0005-0000-0000-0000F1260000}"/>
    <cellStyle name="Input 3 4 3 4" xfId="21326" xr:uid="{00000000-0005-0000-0000-0000F2260000}"/>
    <cellStyle name="Input 3 4 4" xfId="4455" xr:uid="{00000000-0005-0000-0000-0000F3260000}"/>
    <cellStyle name="Input 3 4 4 2" xfId="8494" xr:uid="{00000000-0005-0000-0000-0000F4260000}"/>
    <cellStyle name="Input 3 4 4 2 2" xfId="24120" xr:uid="{00000000-0005-0000-0000-0000F5260000}"/>
    <cellStyle name="Input 3 4 4 3" xfId="14783" xr:uid="{00000000-0005-0000-0000-0000F6260000}"/>
    <cellStyle name="Input 3 4 4 3 2" xfId="29615" xr:uid="{00000000-0005-0000-0000-0000F7260000}"/>
    <cellStyle name="Input 3 4 4 4" xfId="21682" xr:uid="{00000000-0005-0000-0000-0000F8260000}"/>
    <cellStyle name="Input 3 4 5" xfId="2445" xr:uid="{00000000-0005-0000-0000-0000F9260000}"/>
    <cellStyle name="Input 3 4 5 2" xfId="6551" xr:uid="{00000000-0005-0000-0000-0000FA260000}"/>
    <cellStyle name="Input 3 4 5 2 2" xfId="22889" xr:uid="{00000000-0005-0000-0000-0000FB260000}"/>
    <cellStyle name="Input 3 4 5 3" xfId="12784" xr:uid="{00000000-0005-0000-0000-0000FC260000}"/>
    <cellStyle name="Input 3 4 5 3 2" xfId="27616" xr:uid="{00000000-0005-0000-0000-0000FD260000}"/>
    <cellStyle name="Input 3 4 5 4" xfId="20537" xr:uid="{00000000-0005-0000-0000-0000FE260000}"/>
    <cellStyle name="Input 3 4 6" xfId="5569" xr:uid="{00000000-0005-0000-0000-0000FF260000}"/>
    <cellStyle name="Input 3 4 6 2" xfId="15804" xr:uid="{00000000-0005-0000-0000-000000270000}"/>
    <cellStyle name="Input 3 4 6 2 2" xfId="30636" xr:uid="{00000000-0005-0000-0000-000001270000}"/>
    <cellStyle name="Input 3 4 6 3" xfId="22265" xr:uid="{00000000-0005-0000-0000-000002270000}"/>
    <cellStyle name="Input 3 4 7" xfId="11814" xr:uid="{00000000-0005-0000-0000-000003270000}"/>
    <cellStyle name="Input 3 4 7 2" xfId="26646" xr:uid="{00000000-0005-0000-0000-000004270000}"/>
    <cellStyle name="Input 3 4 8" xfId="9486" xr:uid="{00000000-0005-0000-0000-000005270000}"/>
    <cellStyle name="Input 3 4 8 2" xfId="19789" xr:uid="{00000000-0005-0000-0000-000006270000}"/>
    <cellStyle name="Input 3 5" xfId="1475" xr:uid="{00000000-0005-0000-0000-000007270000}"/>
    <cellStyle name="Input 3 5 2" xfId="1976" xr:uid="{00000000-0005-0000-0000-000008270000}"/>
    <cellStyle name="Input 3 5 2 2" xfId="3524" xr:uid="{00000000-0005-0000-0000-000009270000}"/>
    <cellStyle name="Input 3 5 2 2 2" xfId="7586" xr:uid="{00000000-0005-0000-0000-00000A270000}"/>
    <cellStyle name="Input 3 5 2 2 2 2" xfId="23534" xr:uid="{00000000-0005-0000-0000-00000B270000}"/>
    <cellStyle name="Input 3 5 2 2 3" xfId="13861" xr:uid="{00000000-0005-0000-0000-00000C270000}"/>
    <cellStyle name="Input 3 5 2 2 3 2" xfId="28693" xr:uid="{00000000-0005-0000-0000-00000D270000}"/>
    <cellStyle name="Input 3 5 2 2 4" xfId="21209" xr:uid="{00000000-0005-0000-0000-00000E270000}"/>
    <cellStyle name="Input 3 5 2 3" xfId="4940" xr:uid="{00000000-0005-0000-0000-00000F270000}"/>
    <cellStyle name="Input 3 5 2 3 2" xfId="8979" xr:uid="{00000000-0005-0000-0000-000010270000}"/>
    <cellStyle name="Input 3 5 2 3 2 2" xfId="24445" xr:uid="{00000000-0005-0000-0000-000011270000}"/>
    <cellStyle name="Input 3 5 2 3 3" xfId="15262" xr:uid="{00000000-0005-0000-0000-000012270000}"/>
    <cellStyle name="Input 3 5 2 3 3 2" xfId="30094" xr:uid="{00000000-0005-0000-0000-000013270000}"/>
    <cellStyle name="Input 3 5 2 3 4" xfId="21975" xr:uid="{00000000-0005-0000-0000-000014270000}"/>
    <cellStyle name="Input 3 5 2 4" xfId="2930" xr:uid="{00000000-0005-0000-0000-000015270000}"/>
    <cellStyle name="Input 3 5 2 4 2" xfId="7014" xr:uid="{00000000-0005-0000-0000-000016270000}"/>
    <cellStyle name="Input 3 5 2 4 2 2" xfId="23188" xr:uid="{00000000-0005-0000-0000-000017270000}"/>
    <cellStyle name="Input 3 5 2 4 3" xfId="13268" xr:uid="{00000000-0005-0000-0000-000018270000}"/>
    <cellStyle name="Input 3 5 2 4 3 2" xfId="28100" xr:uid="{00000000-0005-0000-0000-000019270000}"/>
    <cellStyle name="Input 3 5 2 4 4" xfId="20856" xr:uid="{00000000-0005-0000-0000-00001A270000}"/>
    <cellStyle name="Input 3 5 2 5" xfId="6106" xr:uid="{00000000-0005-0000-0000-00001B270000}"/>
    <cellStyle name="Input 3 5 2 5 2" xfId="16293" xr:uid="{00000000-0005-0000-0000-00001C270000}"/>
    <cellStyle name="Input 3 5 2 5 2 2" xfId="31125" xr:uid="{00000000-0005-0000-0000-00001D270000}"/>
    <cellStyle name="Input 3 5 2 5 3" xfId="22639" xr:uid="{00000000-0005-0000-0000-00001E270000}"/>
    <cellStyle name="Input 3 5 2 6" xfId="12363" xr:uid="{00000000-0005-0000-0000-00001F270000}"/>
    <cellStyle name="Input 3 5 2 6 2" xfId="27195" xr:uid="{00000000-0005-0000-0000-000020270000}"/>
    <cellStyle name="Input 3 5 2 7" xfId="9945" xr:uid="{00000000-0005-0000-0000-000021270000}"/>
    <cellStyle name="Input 3 5 2 7 2" xfId="20147" xr:uid="{00000000-0005-0000-0000-000022270000}"/>
    <cellStyle name="Input 3 5 3" xfId="3141" xr:uid="{00000000-0005-0000-0000-000023270000}"/>
    <cellStyle name="Input 3 5 3 2" xfId="7205" xr:uid="{00000000-0005-0000-0000-000024270000}"/>
    <cellStyle name="Input 3 5 3 2 2" xfId="23275" xr:uid="{00000000-0005-0000-0000-000025270000}"/>
    <cellStyle name="Input 3 5 3 3" xfId="13479" xr:uid="{00000000-0005-0000-0000-000026270000}"/>
    <cellStyle name="Input 3 5 3 3 2" xfId="28311" xr:uid="{00000000-0005-0000-0000-000027270000}"/>
    <cellStyle name="Input 3 5 3 4" xfId="20966" xr:uid="{00000000-0005-0000-0000-000028270000}"/>
    <cellStyle name="Input 3 5 4" xfId="4520" xr:uid="{00000000-0005-0000-0000-000029270000}"/>
    <cellStyle name="Input 3 5 4 2" xfId="8559" xr:uid="{00000000-0005-0000-0000-00002A270000}"/>
    <cellStyle name="Input 3 5 4 2 2" xfId="24185" xr:uid="{00000000-0005-0000-0000-00002B270000}"/>
    <cellStyle name="Input 3 5 4 3" xfId="14847" xr:uid="{00000000-0005-0000-0000-00002C270000}"/>
    <cellStyle name="Input 3 5 4 3 2" xfId="29679" xr:uid="{00000000-0005-0000-0000-00002D270000}"/>
    <cellStyle name="Input 3 5 4 4" xfId="21745" xr:uid="{00000000-0005-0000-0000-00002E270000}"/>
    <cellStyle name="Input 3 5 5" xfId="2510" xr:uid="{00000000-0005-0000-0000-00002F270000}"/>
    <cellStyle name="Input 3 5 5 2" xfId="6616" xr:uid="{00000000-0005-0000-0000-000030270000}"/>
    <cellStyle name="Input 3 5 5 2 2" xfId="22954" xr:uid="{00000000-0005-0000-0000-000031270000}"/>
    <cellStyle name="Input 3 5 5 3" xfId="12848" xr:uid="{00000000-0005-0000-0000-000032270000}"/>
    <cellStyle name="Input 3 5 5 3 2" xfId="27680" xr:uid="{00000000-0005-0000-0000-000033270000}"/>
    <cellStyle name="Input 3 5 5 4" xfId="20600" xr:uid="{00000000-0005-0000-0000-000034270000}"/>
    <cellStyle name="Input 3 5 6" xfId="5633" xr:uid="{00000000-0005-0000-0000-000035270000}"/>
    <cellStyle name="Input 3 5 6 2" xfId="15868" xr:uid="{00000000-0005-0000-0000-000036270000}"/>
    <cellStyle name="Input 3 5 6 2 2" xfId="30700" xr:uid="{00000000-0005-0000-0000-000037270000}"/>
    <cellStyle name="Input 3 5 6 3" xfId="22329" xr:uid="{00000000-0005-0000-0000-000038270000}"/>
    <cellStyle name="Input 3 5 7" xfId="11892" xr:uid="{00000000-0005-0000-0000-000039270000}"/>
    <cellStyle name="Input 3 5 7 2" xfId="26724" xr:uid="{00000000-0005-0000-0000-00003A270000}"/>
    <cellStyle name="Input 3 5 8" xfId="9550" xr:uid="{00000000-0005-0000-0000-00003B270000}"/>
    <cellStyle name="Input 3 5 8 2" xfId="19852" xr:uid="{00000000-0005-0000-0000-00003C270000}"/>
    <cellStyle name="Input 3 6" xfId="1753" xr:uid="{00000000-0005-0000-0000-00003D270000}"/>
    <cellStyle name="Input 3 6 2" xfId="4149" xr:uid="{00000000-0005-0000-0000-00003E270000}"/>
    <cellStyle name="Input 3 6 2 2" xfId="8192" xr:uid="{00000000-0005-0000-0000-00003F270000}"/>
    <cellStyle name="Input 3 6 2 2 2" xfId="23919" xr:uid="{00000000-0005-0000-0000-000040270000}"/>
    <cellStyle name="Input 3 6 2 3" xfId="14481" xr:uid="{00000000-0005-0000-0000-000041270000}"/>
    <cellStyle name="Input 3 6 2 3 2" xfId="29313" xr:uid="{00000000-0005-0000-0000-000042270000}"/>
    <cellStyle name="Input 3 6 2 4" xfId="21547" xr:uid="{00000000-0005-0000-0000-000043270000}"/>
    <cellStyle name="Input 3 6 3" xfId="4731" xr:uid="{00000000-0005-0000-0000-000044270000}"/>
    <cellStyle name="Input 3 6 3 2" xfId="8770" xr:uid="{00000000-0005-0000-0000-000045270000}"/>
    <cellStyle name="Input 3 6 3 2 2" xfId="24300" xr:uid="{00000000-0005-0000-0000-000046270000}"/>
    <cellStyle name="Input 3 6 3 3" xfId="15055" xr:uid="{00000000-0005-0000-0000-000047270000}"/>
    <cellStyle name="Input 3 6 3 3 2" xfId="29887" xr:uid="{00000000-0005-0000-0000-000048270000}"/>
    <cellStyle name="Input 3 6 3 4" xfId="21838" xr:uid="{00000000-0005-0000-0000-000049270000}"/>
    <cellStyle name="Input 3 6 4" xfId="2721" xr:uid="{00000000-0005-0000-0000-00004A270000}"/>
    <cellStyle name="Input 3 6 4 2" xfId="6812" xr:uid="{00000000-0005-0000-0000-00004B270000}"/>
    <cellStyle name="Input 3 6 4 2 2" xfId="23051" xr:uid="{00000000-0005-0000-0000-00004C270000}"/>
    <cellStyle name="Input 3 6 4 3" xfId="13059" xr:uid="{00000000-0005-0000-0000-00004D270000}"/>
    <cellStyle name="Input 3 6 4 3 2" xfId="27891" xr:uid="{00000000-0005-0000-0000-00004E270000}"/>
    <cellStyle name="Input 3 6 4 4" xfId="20711" xr:uid="{00000000-0005-0000-0000-00004F270000}"/>
    <cellStyle name="Input 3 6 5" xfId="5885" xr:uid="{00000000-0005-0000-0000-000050270000}"/>
    <cellStyle name="Input 3 6 5 2" xfId="16077" xr:uid="{00000000-0005-0000-0000-000051270000}"/>
    <cellStyle name="Input 3 6 5 2 2" xfId="30909" xr:uid="{00000000-0005-0000-0000-000052270000}"/>
    <cellStyle name="Input 3 6 5 3" xfId="22482" xr:uid="{00000000-0005-0000-0000-000053270000}"/>
    <cellStyle name="Input 3 6 6" xfId="12147" xr:uid="{00000000-0005-0000-0000-000054270000}"/>
    <cellStyle name="Input 3 6 6 2" xfId="26979" xr:uid="{00000000-0005-0000-0000-000055270000}"/>
    <cellStyle name="Input 3 6 7" xfId="9743" xr:uid="{00000000-0005-0000-0000-000056270000}"/>
    <cellStyle name="Input 3 6 7 2" xfId="20041" xr:uid="{00000000-0005-0000-0000-000057270000}"/>
    <cellStyle name="Input 3 7" xfId="2213" xr:uid="{00000000-0005-0000-0000-000058270000}"/>
    <cellStyle name="Input 3 7 2" xfId="3576" xr:uid="{00000000-0005-0000-0000-000059270000}"/>
    <cellStyle name="Input 3 7 2 2" xfId="7638" xr:uid="{00000000-0005-0000-0000-00005A270000}"/>
    <cellStyle name="Input 3 7 2 2 2" xfId="23561" xr:uid="{00000000-0005-0000-0000-00005B270000}"/>
    <cellStyle name="Input 3 7 2 3" xfId="13912" xr:uid="{00000000-0005-0000-0000-00005C270000}"/>
    <cellStyle name="Input 3 7 2 3 2" xfId="28744" xr:uid="{00000000-0005-0000-0000-00005D270000}"/>
    <cellStyle name="Input 3 7 2 4" xfId="21230" xr:uid="{00000000-0005-0000-0000-00005E270000}"/>
    <cellStyle name="Input 3 7 3" xfId="5181" xr:uid="{00000000-0005-0000-0000-00005F270000}"/>
    <cellStyle name="Input 3 7 3 2" xfId="9220" xr:uid="{00000000-0005-0000-0000-000060270000}"/>
    <cellStyle name="Input 3 7 3 2 2" xfId="24558" xr:uid="{00000000-0005-0000-0000-000061270000}"/>
    <cellStyle name="Input 3 7 3 3" xfId="15499" xr:uid="{00000000-0005-0000-0000-000062270000}"/>
    <cellStyle name="Input 3 7 3 3 2" xfId="30331" xr:uid="{00000000-0005-0000-0000-000063270000}"/>
    <cellStyle name="Input 3 7 3 4" xfId="22065" xr:uid="{00000000-0005-0000-0000-000064270000}"/>
    <cellStyle name="Input 3 7 4" xfId="4211" xr:uid="{00000000-0005-0000-0000-000065270000}"/>
    <cellStyle name="Input 3 7 4 2" xfId="8252" xr:uid="{00000000-0005-0000-0000-000066270000}"/>
    <cellStyle name="Input 3 7 4 2 2" xfId="23947" xr:uid="{00000000-0005-0000-0000-000067270000}"/>
    <cellStyle name="Input 3 7 4 3" xfId="14543" xr:uid="{00000000-0005-0000-0000-000068270000}"/>
    <cellStyle name="Input 3 7 4 3 2" xfId="29375" xr:uid="{00000000-0005-0000-0000-000069270000}"/>
    <cellStyle name="Input 3 7 4 4" xfId="21572" xr:uid="{00000000-0005-0000-0000-00006A270000}"/>
    <cellStyle name="Input 3 7 5" xfId="6327" xr:uid="{00000000-0005-0000-0000-00006B270000}"/>
    <cellStyle name="Input 3 7 5 2" xfId="22729" xr:uid="{00000000-0005-0000-0000-00006C270000}"/>
    <cellStyle name="Input 3 7 6" xfId="12581" xr:uid="{00000000-0005-0000-0000-00006D270000}"/>
    <cellStyle name="Input 3 7 6 2" xfId="27413" xr:uid="{00000000-0005-0000-0000-00006E270000}"/>
    <cellStyle name="Input 3 7 7" xfId="20408" xr:uid="{00000000-0005-0000-0000-00006F270000}"/>
    <cellStyle name="Input 3 8" xfId="3309" xr:uid="{00000000-0005-0000-0000-000070270000}"/>
    <cellStyle name="Input 3 8 2" xfId="7373" xr:uid="{00000000-0005-0000-0000-000071270000}"/>
    <cellStyle name="Input 3 8 2 2" xfId="23392" xr:uid="{00000000-0005-0000-0000-000072270000}"/>
    <cellStyle name="Input 3 8 3" xfId="13646" xr:uid="{00000000-0005-0000-0000-000073270000}"/>
    <cellStyle name="Input 3 8 3 2" xfId="28478" xr:uid="{00000000-0005-0000-0000-000074270000}"/>
    <cellStyle name="Input 3 8 4" xfId="21079" xr:uid="{00000000-0005-0000-0000-000075270000}"/>
    <cellStyle name="Input 3 9" xfId="3857" xr:uid="{00000000-0005-0000-0000-000076270000}"/>
    <cellStyle name="Input 3 9 2" xfId="7909" xr:uid="{00000000-0005-0000-0000-000077270000}"/>
    <cellStyle name="Input 3 9 2 2" xfId="23745" xr:uid="{00000000-0005-0000-0000-000078270000}"/>
    <cellStyle name="Input 3 9 3" xfId="14192" xr:uid="{00000000-0005-0000-0000-000079270000}"/>
    <cellStyle name="Input 3 9 3 2" xfId="29024" xr:uid="{00000000-0005-0000-0000-00007A270000}"/>
    <cellStyle name="Input 3 9 4" xfId="21387" xr:uid="{00000000-0005-0000-0000-00007B270000}"/>
    <cellStyle name="Input 4" xfId="1121" xr:uid="{00000000-0005-0000-0000-00007C270000}"/>
    <cellStyle name="Input 4 10" xfId="2292" xr:uid="{00000000-0005-0000-0000-00007D270000}"/>
    <cellStyle name="Input 4 10 2" xfId="6404" xr:uid="{00000000-0005-0000-0000-00007E270000}"/>
    <cellStyle name="Input 4 10 2 2" xfId="22806" xr:uid="{00000000-0005-0000-0000-00007F270000}"/>
    <cellStyle name="Input 4 10 3" xfId="12632" xr:uid="{00000000-0005-0000-0000-000080270000}"/>
    <cellStyle name="Input 4 10 3 2" xfId="27464" xr:uid="{00000000-0005-0000-0000-000081270000}"/>
    <cellStyle name="Input 4 10 4" xfId="20458" xr:uid="{00000000-0005-0000-0000-000082270000}"/>
    <cellStyle name="Input 4 11" xfId="5258" xr:uid="{00000000-0005-0000-0000-000083270000}"/>
    <cellStyle name="Input 4 11 2" xfId="15574" xr:uid="{00000000-0005-0000-0000-000084270000}"/>
    <cellStyle name="Input 4 11 2 2" xfId="30406" xr:uid="{00000000-0005-0000-0000-000085270000}"/>
    <cellStyle name="Input 4 11 3" xfId="22115" xr:uid="{00000000-0005-0000-0000-000086270000}"/>
    <cellStyle name="Input 4 12" xfId="5416" xr:uid="{00000000-0005-0000-0000-000087270000}"/>
    <cellStyle name="Input 4 12 2" xfId="15652" xr:uid="{00000000-0005-0000-0000-000088270000}"/>
    <cellStyle name="Input 4 12 2 2" xfId="30484" xr:uid="{00000000-0005-0000-0000-000089270000}"/>
    <cellStyle name="Input 4 12 3" xfId="22177" xr:uid="{00000000-0005-0000-0000-00008A270000}"/>
    <cellStyle name="Input 4 13" xfId="9375" xr:uid="{00000000-0005-0000-0000-00008B270000}"/>
    <cellStyle name="Input 4 13 2" xfId="24681" xr:uid="{00000000-0005-0000-0000-00008C270000}"/>
    <cellStyle name="Input 4 14" xfId="5364" xr:uid="{00000000-0005-0000-0000-00008D270000}"/>
    <cellStyle name="Input 4 14 2" xfId="18238" xr:uid="{00000000-0005-0000-0000-00008E270000}"/>
    <cellStyle name="Input 4 2" xfId="1328" xr:uid="{00000000-0005-0000-0000-00008F270000}"/>
    <cellStyle name="Input 4 2 2" xfId="1832" xr:uid="{00000000-0005-0000-0000-000090270000}"/>
    <cellStyle name="Input 4 2 2 2" xfId="3662" xr:uid="{00000000-0005-0000-0000-000091270000}"/>
    <cellStyle name="Input 4 2 2 2 2" xfId="7721" xr:uid="{00000000-0005-0000-0000-000092270000}"/>
    <cellStyle name="Input 4 2 2 2 2 2" xfId="23617" xr:uid="{00000000-0005-0000-0000-000093270000}"/>
    <cellStyle name="Input 4 2 2 2 3" xfId="13997" xr:uid="{00000000-0005-0000-0000-000094270000}"/>
    <cellStyle name="Input 4 2 2 2 3 2" xfId="28829" xr:uid="{00000000-0005-0000-0000-000095270000}"/>
    <cellStyle name="Input 4 2 2 2 4" xfId="21281" xr:uid="{00000000-0005-0000-0000-000096270000}"/>
    <cellStyle name="Input 4 2 2 3" xfId="4810" xr:uid="{00000000-0005-0000-0000-000097270000}"/>
    <cellStyle name="Input 4 2 2 3 2" xfId="8849" xr:uid="{00000000-0005-0000-0000-000098270000}"/>
    <cellStyle name="Input 4 2 2 3 2 2" xfId="24347" xr:uid="{00000000-0005-0000-0000-000099270000}"/>
    <cellStyle name="Input 4 2 2 3 3" xfId="15134" xr:uid="{00000000-0005-0000-0000-00009A270000}"/>
    <cellStyle name="Input 4 2 2 3 3 2" xfId="29966" xr:uid="{00000000-0005-0000-0000-00009B270000}"/>
    <cellStyle name="Input 4 2 2 3 4" xfId="21885" xr:uid="{00000000-0005-0000-0000-00009C270000}"/>
    <cellStyle name="Input 4 2 2 4" xfId="2800" xr:uid="{00000000-0005-0000-0000-00009D270000}"/>
    <cellStyle name="Input 4 2 2 4 2" xfId="6891" xr:uid="{00000000-0005-0000-0000-00009E270000}"/>
    <cellStyle name="Input 4 2 2 4 2 2" xfId="23098" xr:uid="{00000000-0005-0000-0000-00009F270000}"/>
    <cellStyle name="Input 4 2 2 4 3" xfId="13138" xr:uid="{00000000-0005-0000-0000-0000A0270000}"/>
    <cellStyle name="Input 4 2 2 4 3 2" xfId="27970" xr:uid="{00000000-0005-0000-0000-0000A1270000}"/>
    <cellStyle name="Input 4 2 2 4 4" xfId="20758" xr:uid="{00000000-0005-0000-0000-0000A2270000}"/>
    <cellStyle name="Input 4 2 2 5" xfId="5964" xr:uid="{00000000-0005-0000-0000-0000A3270000}"/>
    <cellStyle name="Input 4 2 2 5 2" xfId="16156" xr:uid="{00000000-0005-0000-0000-0000A4270000}"/>
    <cellStyle name="Input 4 2 2 5 2 2" xfId="30988" xr:uid="{00000000-0005-0000-0000-0000A5270000}"/>
    <cellStyle name="Input 4 2 2 5 3" xfId="22529" xr:uid="{00000000-0005-0000-0000-0000A6270000}"/>
    <cellStyle name="Input 4 2 2 6" xfId="12226" xr:uid="{00000000-0005-0000-0000-0000A7270000}"/>
    <cellStyle name="Input 4 2 2 6 2" xfId="27058" xr:uid="{00000000-0005-0000-0000-0000A8270000}"/>
    <cellStyle name="Input 4 2 2 7" xfId="9822" xr:uid="{00000000-0005-0000-0000-0000A9270000}"/>
    <cellStyle name="Input 4 2 2 7 2" xfId="20073" xr:uid="{00000000-0005-0000-0000-0000AA270000}"/>
    <cellStyle name="Input 4 2 3" xfId="3790" xr:uid="{00000000-0005-0000-0000-0000AB270000}"/>
    <cellStyle name="Input 4 2 3 2" xfId="7845" xr:uid="{00000000-0005-0000-0000-0000AC270000}"/>
    <cellStyle name="Input 4 2 3 2 2" xfId="23700" xr:uid="{00000000-0005-0000-0000-0000AD270000}"/>
    <cellStyle name="Input 4 2 3 3" xfId="14125" xr:uid="{00000000-0005-0000-0000-0000AE270000}"/>
    <cellStyle name="Input 4 2 3 3 2" xfId="28957" xr:uid="{00000000-0005-0000-0000-0000AF270000}"/>
    <cellStyle name="Input 4 2 3 4" xfId="21352" xr:uid="{00000000-0005-0000-0000-0000B0270000}"/>
    <cellStyle name="Input 4 2 4" xfId="4390" xr:uid="{00000000-0005-0000-0000-0000B1270000}"/>
    <cellStyle name="Input 4 2 4 2" xfId="8429" xr:uid="{00000000-0005-0000-0000-0000B2270000}"/>
    <cellStyle name="Input 4 2 4 2 2" xfId="24087" xr:uid="{00000000-0005-0000-0000-0000B3270000}"/>
    <cellStyle name="Input 4 2 4 3" xfId="14719" xr:uid="{00000000-0005-0000-0000-0000B4270000}"/>
    <cellStyle name="Input 4 2 4 3 2" xfId="29551" xr:uid="{00000000-0005-0000-0000-0000B5270000}"/>
    <cellStyle name="Input 4 2 4 4" xfId="21655" xr:uid="{00000000-0005-0000-0000-0000B6270000}"/>
    <cellStyle name="Input 4 2 5" xfId="2380" xr:uid="{00000000-0005-0000-0000-0000B7270000}"/>
    <cellStyle name="Input 4 2 5 2" xfId="6492" xr:uid="{00000000-0005-0000-0000-0000B8270000}"/>
    <cellStyle name="Input 4 2 5 2 2" xfId="22862" xr:uid="{00000000-0005-0000-0000-0000B9270000}"/>
    <cellStyle name="Input 4 2 5 3" xfId="12719" xr:uid="{00000000-0005-0000-0000-0000BA270000}"/>
    <cellStyle name="Input 4 2 5 3 2" xfId="27551" xr:uid="{00000000-0005-0000-0000-0000BB270000}"/>
    <cellStyle name="Input 4 2 5 4" xfId="20504" xr:uid="{00000000-0005-0000-0000-0000BC270000}"/>
    <cellStyle name="Input 4 2 6" xfId="5505" xr:uid="{00000000-0005-0000-0000-0000BD270000}"/>
    <cellStyle name="Input 4 2 6 2" xfId="15740" xr:uid="{00000000-0005-0000-0000-0000BE270000}"/>
    <cellStyle name="Input 4 2 6 2 2" xfId="30572" xr:uid="{00000000-0005-0000-0000-0000BF270000}"/>
    <cellStyle name="Input 4 2 6 3" xfId="22233" xr:uid="{00000000-0005-0000-0000-0000C0270000}"/>
    <cellStyle name="Input 4 2 7" xfId="11755" xr:uid="{00000000-0005-0000-0000-0000C1270000}"/>
    <cellStyle name="Input 4 2 7 2" xfId="26587" xr:uid="{00000000-0005-0000-0000-0000C2270000}"/>
    <cellStyle name="Input 4 2 8" xfId="9426" xr:uid="{00000000-0005-0000-0000-0000C3270000}"/>
    <cellStyle name="Input 4 2 8 2" xfId="19730" xr:uid="{00000000-0005-0000-0000-0000C4270000}"/>
    <cellStyle name="Input 4 3" xfId="1486" xr:uid="{00000000-0005-0000-0000-0000C5270000}"/>
    <cellStyle name="Input 4 3 2" xfId="1987" xr:uid="{00000000-0005-0000-0000-0000C6270000}"/>
    <cellStyle name="Input 4 3 2 2" xfId="3525" xr:uid="{00000000-0005-0000-0000-0000C7270000}"/>
    <cellStyle name="Input 4 3 2 2 2" xfId="7587" xr:uid="{00000000-0005-0000-0000-0000C8270000}"/>
    <cellStyle name="Input 4 3 2 2 2 2" xfId="23535" xr:uid="{00000000-0005-0000-0000-0000C9270000}"/>
    <cellStyle name="Input 4 3 2 2 3" xfId="13862" xr:uid="{00000000-0005-0000-0000-0000CA270000}"/>
    <cellStyle name="Input 4 3 2 2 3 2" xfId="28694" xr:uid="{00000000-0005-0000-0000-0000CB270000}"/>
    <cellStyle name="Input 4 3 2 2 4" xfId="21210" xr:uid="{00000000-0005-0000-0000-0000CC270000}"/>
    <cellStyle name="Input 4 3 2 3" xfId="4951" xr:uid="{00000000-0005-0000-0000-0000CD270000}"/>
    <cellStyle name="Input 4 3 2 3 2" xfId="8990" xr:uid="{00000000-0005-0000-0000-0000CE270000}"/>
    <cellStyle name="Input 4 3 2 3 2 2" xfId="24456" xr:uid="{00000000-0005-0000-0000-0000CF270000}"/>
    <cellStyle name="Input 4 3 2 3 3" xfId="15273" xr:uid="{00000000-0005-0000-0000-0000D0270000}"/>
    <cellStyle name="Input 4 3 2 3 3 2" xfId="30105" xr:uid="{00000000-0005-0000-0000-0000D1270000}"/>
    <cellStyle name="Input 4 3 2 3 4" xfId="21986" xr:uid="{00000000-0005-0000-0000-0000D2270000}"/>
    <cellStyle name="Input 4 3 2 4" xfId="2941" xr:uid="{00000000-0005-0000-0000-0000D3270000}"/>
    <cellStyle name="Input 4 3 2 4 2" xfId="7025" xr:uid="{00000000-0005-0000-0000-0000D4270000}"/>
    <cellStyle name="Input 4 3 2 4 2 2" xfId="23199" xr:uid="{00000000-0005-0000-0000-0000D5270000}"/>
    <cellStyle name="Input 4 3 2 4 3" xfId="13279" xr:uid="{00000000-0005-0000-0000-0000D6270000}"/>
    <cellStyle name="Input 4 3 2 4 3 2" xfId="28111" xr:uid="{00000000-0005-0000-0000-0000D7270000}"/>
    <cellStyle name="Input 4 3 2 4 4" xfId="20867" xr:uid="{00000000-0005-0000-0000-0000D8270000}"/>
    <cellStyle name="Input 4 3 2 5" xfId="6117" xr:uid="{00000000-0005-0000-0000-0000D9270000}"/>
    <cellStyle name="Input 4 3 2 5 2" xfId="16304" xr:uid="{00000000-0005-0000-0000-0000DA270000}"/>
    <cellStyle name="Input 4 3 2 5 2 2" xfId="31136" xr:uid="{00000000-0005-0000-0000-0000DB270000}"/>
    <cellStyle name="Input 4 3 2 5 3" xfId="22650" xr:uid="{00000000-0005-0000-0000-0000DC270000}"/>
    <cellStyle name="Input 4 3 2 6" xfId="12374" xr:uid="{00000000-0005-0000-0000-0000DD270000}"/>
    <cellStyle name="Input 4 3 2 6 2" xfId="27206" xr:uid="{00000000-0005-0000-0000-0000DE270000}"/>
    <cellStyle name="Input 4 3 2 7" xfId="9956" xr:uid="{00000000-0005-0000-0000-0000DF270000}"/>
    <cellStyle name="Input 4 3 2 7 2" xfId="20158" xr:uid="{00000000-0005-0000-0000-0000E0270000}"/>
    <cellStyle name="Input 4 3 3" xfId="4014" xr:uid="{00000000-0005-0000-0000-0000E1270000}"/>
    <cellStyle name="Input 4 3 3 2" xfId="8061" xr:uid="{00000000-0005-0000-0000-0000E2270000}"/>
    <cellStyle name="Input 4 3 3 2 2" xfId="23838" xr:uid="{00000000-0005-0000-0000-0000E3270000}"/>
    <cellStyle name="Input 4 3 3 3" xfId="14346" xr:uid="{00000000-0005-0000-0000-0000E4270000}"/>
    <cellStyle name="Input 4 3 3 3 2" xfId="29178" xr:uid="{00000000-0005-0000-0000-0000E5270000}"/>
    <cellStyle name="Input 4 3 3 4" xfId="21476" xr:uid="{00000000-0005-0000-0000-0000E6270000}"/>
    <cellStyle name="Input 4 3 4" xfId="4531" xr:uid="{00000000-0005-0000-0000-0000E7270000}"/>
    <cellStyle name="Input 4 3 4 2" xfId="8570" xr:uid="{00000000-0005-0000-0000-0000E8270000}"/>
    <cellStyle name="Input 4 3 4 2 2" xfId="24196" xr:uid="{00000000-0005-0000-0000-0000E9270000}"/>
    <cellStyle name="Input 4 3 4 3" xfId="14858" xr:uid="{00000000-0005-0000-0000-0000EA270000}"/>
    <cellStyle name="Input 4 3 4 3 2" xfId="29690" xr:uid="{00000000-0005-0000-0000-0000EB270000}"/>
    <cellStyle name="Input 4 3 4 4" xfId="21756" xr:uid="{00000000-0005-0000-0000-0000EC270000}"/>
    <cellStyle name="Input 4 3 5" xfId="2521" xr:uid="{00000000-0005-0000-0000-0000ED270000}"/>
    <cellStyle name="Input 4 3 5 2" xfId="6627" xr:uid="{00000000-0005-0000-0000-0000EE270000}"/>
    <cellStyle name="Input 4 3 5 2 2" xfId="22965" xr:uid="{00000000-0005-0000-0000-0000EF270000}"/>
    <cellStyle name="Input 4 3 5 3" xfId="12859" xr:uid="{00000000-0005-0000-0000-0000F0270000}"/>
    <cellStyle name="Input 4 3 5 3 2" xfId="27691" xr:uid="{00000000-0005-0000-0000-0000F1270000}"/>
    <cellStyle name="Input 4 3 5 4" xfId="20611" xr:uid="{00000000-0005-0000-0000-0000F2270000}"/>
    <cellStyle name="Input 4 3 6" xfId="5644" xr:uid="{00000000-0005-0000-0000-0000F3270000}"/>
    <cellStyle name="Input 4 3 6 2" xfId="15879" xr:uid="{00000000-0005-0000-0000-0000F4270000}"/>
    <cellStyle name="Input 4 3 6 2 2" xfId="30711" xr:uid="{00000000-0005-0000-0000-0000F5270000}"/>
    <cellStyle name="Input 4 3 6 3" xfId="22340" xr:uid="{00000000-0005-0000-0000-0000F6270000}"/>
    <cellStyle name="Input 4 3 7" xfId="11903" xr:uid="{00000000-0005-0000-0000-0000F7270000}"/>
    <cellStyle name="Input 4 3 7 2" xfId="26735" xr:uid="{00000000-0005-0000-0000-0000F8270000}"/>
    <cellStyle name="Input 4 3 8" xfId="9561" xr:uid="{00000000-0005-0000-0000-0000F9270000}"/>
    <cellStyle name="Input 4 3 8 2" xfId="19863" xr:uid="{00000000-0005-0000-0000-0000FA270000}"/>
    <cellStyle name="Input 4 4" xfId="1401" xr:uid="{00000000-0005-0000-0000-0000FB270000}"/>
    <cellStyle name="Input 4 4 2" xfId="1903" xr:uid="{00000000-0005-0000-0000-0000FC270000}"/>
    <cellStyle name="Input 4 4 2 2" xfId="3709" xr:uid="{00000000-0005-0000-0000-0000FD270000}"/>
    <cellStyle name="Input 4 4 2 2 2" xfId="7765" xr:uid="{00000000-0005-0000-0000-0000FE270000}"/>
    <cellStyle name="Input 4 4 2 2 2 2" xfId="23647" xr:uid="{00000000-0005-0000-0000-0000FF270000}"/>
    <cellStyle name="Input 4 4 2 2 3" xfId="14044" xr:uid="{00000000-0005-0000-0000-000000280000}"/>
    <cellStyle name="Input 4 4 2 2 3 2" xfId="28876" xr:uid="{00000000-0005-0000-0000-000001280000}"/>
    <cellStyle name="Input 4 4 2 2 4" xfId="21307" xr:uid="{00000000-0005-0000-0000-000002280000}"/>
    <cellStyle name="Input 4 4 2 3" xfId="4881" xr:uid="{00000000-0005-0000-0000-000003280000}"/>
    <cellStyle name="Input 4 4 2 3 2" xfId="8920" xr:uid="{00000000-0005-0000-0000-000004280000}"/>
    <cellStyle name="Input 4 4 2 3 2 2" xfId="24386" xr:uid="{00000000-0005-0000-0000-000005280000}"/>
    <cellStyle name="Input 4 4 2 3 3" xfId="15204" xr:uid="{00000000-0005-0000-0000-000006280000}"/>
    <cellStyle name="Input 4 4 2 3 3 2" xfId="30036" xr:uid="{00000000-0005-0000-0000-000007280000}"/>
    <cellStyle name="Input 4 4 2 3 4" xfId="21918" xr:uid="{00000000-0005-0000-0000-000008280000}"/>
    <cellStyle name="Input 4 4 2 4" xfId="2871" xr:uid="{00000000-0005-0000-0000-000009280000}"/>
    <cellStyle name="Input 4 4 2 4 2" xfId="6956" xr:uid="{00000000-0005-0000-0000-00000A280000}"/>
    <cellStyle name="Input 4 4 2 4 2 2" xfId="23131" xr:uid="{00000000-0005-0000-0000-00000B280000}"/>
    <cellStyle name="Input 4 4 2 4 3" xfId="13209" xr:uid="{00000000-0005-0000-0000-00000C280000}"/>
    <cellStyle name="Input 4 4 2 4 3 2" xfId="28041" xr:uid="{00000000-0005-0000-0000-00000D280000}"/>
    <cellStyle name="Input 4 4 2 4 4" xfId="20797" xr:uid="{00000000-0005-0000-0000-00000E280000}"/>
    <cellStyle name="Input 4 4 2 5" xfId="6034" xr:uid="{00000000-0005-0000-0000-00000F280000}"/>
    <cellStyle name="Input 4 4 2 5 2" xfId="16221" xr:uid="{00000000-0005-0000-0000-000010280000}"/>
    <cellStyle name="Input 4 4 2 5 2 2" xfId="31053" xr:uid="{00000000-0005-0000-0000-000011280000}"/>
    <cellStyle name="Input 4 4 2 5 3" xfId="22567" xr:uid="{00000000-0005-0000-0000-000012280000}"/>
    <cellStyle name="Input 4 4 2 6" xfId="12291" xr:uid="{00000000-0005-0000-0000-000013280000}"/>
    <cellStyle name="Input 4 4 2 6 2" xfId="27123" xr:uid="{00000000-0005-0000-0000-000014280000}"/>
    <cellStyle name="Input 4 4 2 7" xfId="9887" xr:uid="{00000000-0005-0000-0000-000015280000}"/>
    <cellStyle name="Input 4 4 2 7 2" xfId="20090" xr:uid="{00000000-0005-0000-0000-000016280000}"/>
    <cellStyle name="Input 4 4 3" xfId="3561" xr:uid="{00000000-0005-0000-0000-000017280000}"/>
    <cellStyle name="Input 4 4 3 2" xfId="7623" xr:uid="{00000000-0005-0000-0000-000018280000}"/>
    <cellStyle name="Input 4 4 3 2 2" xfId="23553" xr:uid="{00000000-0005-0000-0000-000019280000}"/>
    <cellStyle name="Input 4 4 3 3" xfId="13897" xr:uid="{00000000-0005-0000-0000-00001A280000}"/>
    <cellStyle name="Input 4 4 3 3 2" xfId="28729" xr:uid="{00000000-0005-0000-0000-00001B280000}"/>
    <cellStyle name="Input 4 4 3 4" xfId="21223" xr:uid="{00000000-0005-0000-0000-00001C280000}"/>
    <cellStyle name="Input 4 4 4" xfId="4461" xr:uid="{00000000-0005-0000-0000-00001D280000}"/>
    <cellStyle name="Input 4 4 4 2" xfId="8500" xr:uid="{00000000-0005-0000-0000-00001E280000}"/>
    <cellStyle name="Input 4 4 4 2 2" xfId="24126" xr:uid="{00000000-0005-0000-0000-00001F280000}"/>
    <cellStyle name="Input 4 4 4 3" xfId="14789" xr:uid="{00000000-0005-0000-0000-000020280000}"/>
    <cellStyle name="Input 4 4 4 3 2" xfId="29621" xr:uid="{00000000-0005-0000-0000-000021280000}"/>
    <cellStyle name="Input 4 4 4 4" xfId="21688" xr:uid="{00000000-0005-0000-0000-000022280000}"/>
    <cellStyle name="Input 4 4 5" xfId="2451" xr:uid="{00000000-0005-0000-0000-000023280000}"/>
    <cellStyle name="Input 4 4 5 2" xfId="6557" xr:uid="{00000000-0005-0000-0000-000024280000}"/>
    <cellStyle name="Input 4 4 5 2 2" xfId="22895" xr:uid="{00000000-0005-0000-0000-000025280000}"/>
    <cellStyle name="Input 4 4 5 3" xfId="12790" xr:uid="{00000000-0005-0000-0000-000026280000}"/>
    <cellStyle name="Input 4 4 5 3 2" xfId="27622" xr:uid="{00000000-0005-0000-0000-000027280000}"/>
    <cellStyle name="Input 4 4 5 4" xfId="20543" xr:uid="{00000000-0005-0000-0000-000028280000}"/>
    <cellStyle name="Input 4 4 6" xfId="5575" xr:uid="{00000000-0005-0000-0000-000029280000}"/>
    <cellStyle name="Input 4 4 6 2" xfId="15810" xr:uid="{00000000-0005-0000-0000-00002A280000}"/>
    <cellStyle name="Input 4 4 6 2 2" xfId="30642" xr:uid="{00000000-0005-0000-0000-00002B280000}"/>
    <cellStyle name="Input 4 4 6 3" xfId="22271" xr:uid="{00000000-0005-0000-0000-00002C280000}"/>
    <cellStyle name="Input 4 4 7" xfId="11820" xr:uid="{00000000-0005-0000-0000-00002D280000}"/>
    <cellStyle name="Input 4 4 7 2" xfId="26652" xr:uid="{00000000-0005-0000-0000-00002E280000}"/>
    <cellStyle name="Input 4 4 8" xfId="9492" xr:uid="{00000000-0005-0000-0000-00002F280000}"/>
    <cellStyle name="Input 4 4 8 2" xfId="19795" xr:uid="{00000000-0005-0000-0000-000030280000}"/>
    <cellStyle name="Input 4 5" xfId="1492" xr:uid="{00000000-0005-0000-0000-000031280000}"/>
    <cellStyle name="Input 4 5 2" xfId="1993" xr:uid="{00000000-0005-0000-0000-000032280000}"/>
    <cellStyle name="Input 4 5 2 2" xfId="4034" xr:uid="{00000000-0005-0000-0000-000033280000}"/>
    <cellStyle name="Input 4 5 2 2 2" xfId="8081" xr:uid="{00000000-0005-0000-0000-000034280000}"/>
    <cellStyle name="Input 4 5 2 2 2 2" xfId="23850" xr:uid="{00000000-0005-0000-0000-000035280000}"/>
    <cellStyle name="Input 4 5 2 2 3" xfId="14366" xr:uid="{00000000-0005-0000-0000-000036280000}"/>
    <cellStyle name="Input 4 5 2 2 3 2" xfId="29198" xr:uid="{00000000-0005-0000-0000-000037280000}"/>
    <cellStyle name="Input 4 5 2 2 4" xfId="21484" xr:uid="{00000000-0005-0000-0000-000038280000}"/>
    <cellStyle name="Input 4 5 2 3" xfId="4957" xr:uid="{00000000-0005-0000-0000-000039280000}"/>
    <cellStyle name="Input 4 5 2 3 2" xfId="8996" xr:uid="{00000000-0005-0000-0000-00003A280000}"/>
    <cellStyle name="Input 4 5 2 3 2 2" xfId="24462" xr:uid="{00000000-0005-0000-0000-00003B280000}"/>
    <cellStyle name="Input 4 5 2 3 3" xfId="15279" xr:uid="{00000000-0005-0000-0000-00003C280000}"/>
    <cellStyle name="Input 4 5 2 3 3 2" xfId="30111" xr:uid="{00000000-0005-0000-0000-00003D280000}"/>
    <cellStyle name="Input 4 5 2 3 4" xfId="21992" xr:uid="{00000000-0005-0000-0000-00003E280000}"/>
    <cellStyle name="Input 4 5 2 4" xfId="2947" xr:uid="{00000000-0005-0000-0000-00003F280000}"/>
    <cellStyle name="Input 4 5 2 4 2" xfId="7031" xr:uid="{00000000-0005-0000-0000-000040280000}"/>
    <cellStyle name="Input 4 5 2 4 2 2" xfId="23205" xr:uid="{00000000-0005-0000-0000-000041280000}"/>
    <cellStyle name="Input 4 5 2 4 3" xfId="13285" xr:uid="{00000000-0005-0000-0000-000042280000}"/>
    <cellStyle name="Input 4 5 2 4 3 2" xfId="28117" xr:uid="{00000000-0005-0000-0000-000043280000}"/>
    <cellStyle name="Input 4 5 2 4 4" xfId="20873" xr:uid="{00000000-0005-0000-0000-000044280000}"/>
    <cellStyle name="Input 4 5 2 5" xfId="6123" xr:uid="{00000000-0005-0000-0000-000045280000}"/>
    <cellStyle name="Input 4 5 2 5 2" xfId="16310" xr:uid="{00000000-0005-0000-0000-000046280000}"/>
    <cellStyle name="Input 4 5 2 5 2 2" xfId="31142" xr:uid="{00000000-0005-0000-0000-000047280000}"/>
    <cellStyle name="Input 4 5 2 5 3" xfId="22656" xr:uid="{00000000-0005-0000-0000-000048280000}"/>
    <cellStyle name="Input 4 5 2 6" xfId="12380" xr:uid="{00000000-0005-0000-0000-000049280000}"/>
    <cellStyle name="Input 4 5 2 6 2" xfId="27212" xr:uid="{00000000-0005-0000-0000-00004A280000}"/>
    <cellStyle name="Input 4 5 2 7" xfId="9962" xr:uid="{00000000-0005-0000-0000-00004B280000}"/>
    <cellStyle name="Input 4 5 2 7 2" xfId="20164" xr:uid="{00000000-0005-0000-0000-00004C280000}"/>
    <cellStyle name="Input 4 5 3" xfId="3998" xr:uid="{00000000-0005-0000-0000-00004D280000}"/>
    <cellStyle name="Input 4 5 3 2" xfId="8045" xr:uid="{00000000-0005-0000-0000-00004E280000}"/>
    <cellStyle name="Input 4 5 3 2 2" xfId="23828" xr:uid="{00000000-0005-0000-0000-00004F280000}"/>
    <cellStyle name="Input 4 5 3 3" xfId="14330" xr:uid="{00000000-0005-0000-0000-000050280000}"/>
    <cellStyle name="Input 4 5 3 3 2" xfId="29162" xr:uid="{00000000-0005-0000-0000-000051280000}"/>
    <cellStyle name="Input 4 5 3 4" xfId="21466" xr:uid="{00000000-0005-0000-0000-000052280000}"/>
    <cellStyle name="Input 4 5 4" xfId="4537" xr:uid="{00000000-0005-0000-0000-000053280000}"/>
    <cellStyle name="Input 4 5 4 2" xfId="8576" xr:uid="{00000000-0005-0000-0000-000054280000}"/>
    <cellStyle name="Input 4 5 4 2 2" xfId="24202" xr:uid="{00000000-0005-0000-0000-000055280000}"/>
    <cellStyle name="Input 4 5 4 3" xfId="14864" xr:uid="{00000000-0005-0000-0000-000056280000}"/>
    <cellStyle name="Input 4 5 4 3 2" xfId="29696" xr:uid="{00000000-0005-0000-0000-000057280000}"/>
    <cellStyle name="Input 4 5 4 4" xfId="21762" xr:uid="{00000000-0005-0000-0000-000058280000}"/>
    <cellStyle name="Input 4 5 5" xfId="2527" xr:uid="{00000000-0005-0000-0000-000059280000}"/>
    <cellStyle name="Input 4 5 5 2" xfId="6633" xr:uid="{00000000-0005-0000-0000-00005A280000}"/>
    <cellStyle name="Input 4 5 5 2 2" xfId="22971" xr:uid="{00000000-0005-0000-0000-00005B280000}"/>
    <cellStyle name="Input 4 5 5 3" xfId="12865" xr:uid="{00000000-0005-0000-0000-00005C280000}"/>
    <cellStyle name="Input 4 5 5 3 2" xfId="27697" xr:uid="{00000000-0005-0000-0000-00005D280000}"/>
    <cellStyle name="Input 4 5 5 4" xfId="20617" xr:uid="{00000000-0005-0000-0000-00005E280000}"/>
    <cellStyle name="Input 4 5 6" xfId="5650" xr:uid="{00000000-0005-0000-0000-00005F280000}"/>
    <cellStyle name="Input 4 5 6 2" xfId="15885" xr:uid="{00000000-0005-0000-0000-000060280000}"/>
    <cellStyle name="Input 4 5 6 2 2" xfId="30717" xr:uid="{00000000-0005-0000-0000-000061280000}"/>
    <cellStyle name="Input 4 5 6 3" xfId="22346" xr:uid="{00000000-0005-0000-0000-000062280000}"/>
    <cellStyle name="Input 4 5 7" xfId="11909" xr:uid="{00000000-0005-0000-0000-000063280000}"/>
    <cellStyle name="Input 4 5 7 2" xfId="26741" xr:uid="{00000000-0005-0000-0000-000064280000}"/>
    <cellStyle name="Input 4 5 8" xfId="9567" xr:uid="{00000000-0005-0000-0000-000065280000}"/>
    <cellStyle name="Input 4 5 8 2" xfId="19869" xr:uid="{00000000-0005-0000-0000-000066280000}"/>
    <cellStyle name="Input 4 6" xfId="1754" xr:uid="{00000000-0005-0000-0000-000067280000}"/>
    <cellStyle name="Input 4 6 2" xfId="3372" xr:uid="{00000000-0005-0000-0000-000068280000}"/>
    <cellStyle name="Input 4 6 2 2" xfId="7435" xr:uid="{00000000-0005-0000-0000-000069280000}"/>
    <cellStyle name="Input 4 6 2 2 2" xfId="23433" xr:uid="{00000000-0005-0000-0000-00006A280000}"/>
    <cellStyle name="Input 4 6 2 3" xfId="13709" xr:uid="{00000000-0005-0000-0000-00006B280000}"/>
    <cellStyle name="Input 4 6 2 3 2" xfId="28541" xr:uid="{00000000-0005-0000-0000-00006C280000}"/>
    <cellStyle name="Input 4 6 2 4" xfId="21115" xr:uid="{00000000-0005-0000-0000-00006D280000}"/>
    <cellStyle name="Input 4 6 3" xfId="4732" xr:uid="{00000000-0005-0000-0000-00006E280000}"/>
    <cellStyle name="Input 4 6 3 2" xfId="8771" xr:uid="{00000000-0005-0000-0000-00006F280000}"/>
    <cellStyle name="Input 4 6 3 2 2" xfId="24301" xr:uid="{00000000-0005-0000-0000-000070280000}"/>
    <cellStyle name="Input 4 6 3 3" xfId="15056" xr:uid="{00000000-0005-0000-0000-000071280000}"/>
    <cellStyle name="Input 4 6 3 3 2" xfId="29888" xr:uid="{00000000-0005-0000-0000-000072280000}"/>
    <cellStyle name="Input 4 6 3 4" xfId="21839" xr:uid="{00000000-0005-0000-0000-000073280000}"/>
    <cellStyle name="Input 4 6 4" xfId="2722" xr:uid="{00000000-0005-0000-0000-000074280000}"/>
    <cellStyle name="Input 4 6 4 2" xfId="6813" xr:uid="{00000000-0005-0000-0000-000075280000}"/>
    <cellStyle name="Input 4 6 4 2 2" xfId="23052" xr:uid="{00000000-0005-0000-0000-000076280000}"/>
    <cellStyle name="Input 4 6 4 3" xfId="13060" xr:uid="{00000000-0005-0000-0000-000077280000}"/>
    <cellStyle name="Input 4 6 4 3 2" xfId="27892" xr:uid="{00000000-0005-0000-0000-000078280000}"/>
    <cellStyle name="Input 4 6 4 4" xfId="20712" xr:uid="{00000000-0005-0000-0000-000079280000}"/>
    <cellStyle name="Input 4 6 5" xfId="5886" xr:uid="{00000000-0005-0000-0000-00007A280000}"/>
    <cellStyle name="Input 4 6 5 2" xfId="16078" xr:uid="{00000000-0005-0000-0000-00007B280000}"/>
    <cellStyle name="Input 4 6 5 2 2" xfId="30910" xr:uid="{00000000-0005-0000-0000-00007C280000}"/>
    <cellStyle name="Input 4 6 5 3" xfId="22483" xr:uid="{00000000-0005-0000-0000-00007D280000}"/>
    <cellStyle name="Input 4 6 6" xfId="12148" xr:uid="{00000000-0005-0000-0000-00007E280000}"/>
    <cellStyle name="Input 4 6 6 2" xfId="26980" xr:uid="{00000000-0005-0000-0000-00007F280000}"/>
    <cellStyle name="Input 4 6 7" xfId="9744" xr:uid="{00000000-0005-0000-0000-000080280000}"/>
    <cellStyle name="Input 4 6 7 2" xfId="20042" xr:uid="{00000000-0005-0000-0000-000081280000}"/>
    <cellStyle name="Input 4 7" xfId="2212" xr:uid="{00000000-0005-0000-0000-000082280000}"/>
    <cellStyle name="Input 4 7 2" xfId="3882" xr:uid="{00000000-0005-0000-0000-000083280000}"/>
    <cellStyle name="Input 4 7 2 2" xfId="7933" xr:uid="{00000000-0005-0000-0000-000084280000}"/>
    <cellStyle name="Input 4 7 2 2 2" xfId="23759" xr:uid="{00000000-0005-0000-0000-000085280000}"/>
    <cellStyle name="Input 4 7 2 3" xfId="14216" xr:uid="{00000000-0005-0000-0000-000086280000}"/>
    <cellStyle name="Input 4 7 2 3 2" xfId="29048" xr:uid="{00000000-0005-0000-0000-000087280000}"/>
    <cellStyle name="Input 4 7 2 4" xfId="21401" xr:uid="{00000000-0005-0000-0000-000088280000}"/>
    <cellStyle name="Input 4 7 3" xfId="5180" xr:uid="{00000000-0005-0000-0000-000089280000}"/>
    <cellStyle name="Input 4 7 3 2" xfId="9219" xr:uid="{00000000-0005-0000-0000-00008A280000}"/>
    <cellStyle name="Input 4 7 3 2 2" xfId="24557" xr:uid="{00000000-0005-0000-0000-00008B280000}"/>
    <cellStyle name="Input 4 7 3 3" xfId="15498" xr:uid="{00000000-0005-0000-0000-00008C280000}"/>
    <cellStyle name="Input 4 7 3 3 2" xfId="30330" xr:uid="{00000000-0005-0000-0000-00008D280000}"/>
    <cellStyle name="Input 4 7 3 4" xfId="22064" xr:uid="{00000000-0005-0000-0000-00008E280000}"/>
    <cellStyle name="Input 4 7 4" xfId="4210" xr:uid="{00000000-0005-0000-0000-00008F280000}"/>
    <cellStyle name="Input 4 7 4 2" xfId="8251" xr:uid="{00000000-0005-0000-0000-000090280000}"/>
    <cellStyle name="Input 4 7 4 2 2" xfId="23946" xr:uid="{00000000-0005-0000-0000-000091280000}"/>
    <cellStyle name="Input 4 7 4 3" xfId="14542" xr:uid="{00000000-0005-0000-0000-000092280000}"/>
    <cellStyle name="Input 4 7 4 3 2" xfId="29374" xr:uid="{00000000-0005-0000-0000-000093280000}"/>
    <cellStyle name="Input 4 7 4 4" xfId="21571" xr:uid="{00000000-0005-0000-0000-000094280000}"/>
    <cellStyle name="Input 4 7 5" xfId="6326" xr:uid="{00000000-0005-0000-0000-000095280000}"/>
    <cellStyle name="Input 4 7 5 2" xfId="22728" xr:uid="{00000000-0005-0000-0000-000096280000}"/>
    <cellStyle name="Input 4 7 6" xfId="12580" xr:uid="{00000000-0005-0000-0000-000097280000}"/>
    <cellStyle name="Input 4 7 6 2" xfId="27412" xr:uid="{00000000-0005-0000-0000-000098280000}"/>
    <cellStyle name="Input 4 7 7" xfId="20407" xr:uid="{00000000-0005-0000-0000-000099280000}"/>
    <cellStyle name="Input 4 8" xfId="3257" xr:uid="{00000000-0005-0000-0000-00009A280000}"/>
    <cellStyle name="Input 4 8 2" xfId="7321" xr:uid="{00000000-0005-0000-0000-00009B280000}"/>
    <cellStyle name="Input 4 8 2 2" xfId="23357" xr:uid="{00000000-0005-0000-0000-00009C280000}"/>
    <cellStyle name="Input 4 8 3" xfId="13594" xr:uid="{00000000-0005-0000-0000-00009D280000}"/>
    <cellStyle name="Input 4 8 3 2" xfId="28426" xr:uid="{00000000-0005-0000-0000-00009E280000}"/>
    <cellStyle name="Input 4 8 4" xfId="21044" xr:uid="{00000000-0005-0000-0000-00009F280000}"/>
    <cellStyle name="Input 4 9" xfId="3147" xr:uid="{00000000-0005-0000-0000-0000A0280000}"/>
    <cellStyle name="Input 4 9 2" xfId="7211" xr:uid="{00000000-0005-0000-0000-0000A1280000}"/>
    <cellStyle name="Input 4 9 2 2" xfId="23280" xr:uid="{00000000-0005-0000-0000-0000A2280000}"/>
    <cellStyle name="Input 4 9 3" xfId="13485" xr:uid="{00000000-0005-0000-0000-0000A3280000}"/>
    <cellStyle name="Input 4 9 3 2" xfId="28317" xr:uid="{00000000-0005-0000-0000-0000A4280000}"/>
    <cellStyle name="Input 4 9 4" xfId="20971" xr:uid="{00000000-0005-0000-0000-0000A5280000}"/>
    <cellStyle name="Input 5" xfId="1122" xr:uid="{00000000-0005-0000-0000-0000A6280000}"/>
    <cellStyle name="Input 5 10" xfId="2293" xr:uid="{00000000-0005-0000-0000-0000A7280000}"/>
    <cellStyle name="Input 5 10 2" xfId="6405" xr:uid="{00000000-0005-0000-0000-0000A8280000}"/>
    <cellStyle name="Input 5 10 2 2" xfId="22807" xr:uid="{00000000-0005-0000-0000-0000A9280000}"/>
    <cellStyle name="Input 5 10 3" xfId="12633" xr:uid="{00000000-0005-0000-0000-0000AA280000}"/>
    <cellStyle name="Input 5 10 3 2" xfId="27465" xr:uid="{00000000-0005-0000-0000-0000AB280000}"/>
    <cellStyle name="Input 5 10 4" xfId="20459" xr:uid="{00000000-0005-0000-0000-0000AC280000}"/>
    <cellStyle name="Input 5 11" xfId="5259" xr:uid="{00000000-0005-0000-0000-0000AD280000}"/>
    <cellStyle name="Input 5 11 2" xfId="15575" xr:uid="{00000000-0005-0000-0000-0000AE280000}"/>
    <cellStyle name="Input 5 11 2 2" xfId="30407" xr:uid="{00000000-0005-0000-0000-0000AF280000}"/>
    <cellStyle name="Input 5 11 3" xfId="22116" xr:uid="{00000000-0005-0000-0000-0000B0280000}"/>
    <cellStyle name="Input 5 12" xfId="5417" xr:uid="{00000000-0005-0000-0000-0000B1280000}"/>
    <cellStyle name="Input 5 12 2" xfId="15653" xr:uid="{00000000-0005-0000-0000-0000B2280000}"/>
    <cellStyle name="Input 5 12 2 2" xfId="30485" xr:uid="{00000000-0005-0000-0000-0000B3280000}"/>
    <cellStyle name="Input 5 12 3" xfId="22178" xr:uid="{00000000-0005-0000-0000-0000B4280000}"/>
    <cellStyle name="Input 5 13" xfId="9374" xr:uid="{00000000-0005-0000-0000-0000B5280000}"/>
    <cellStyle name="Input 5 13 2" xfId="24680" xr:uid="{00000000-0005-0000-0000-0000B6280000}"/>
    <cellStyle name="Input 5 14" xfId="5363" xr:uid="{00000000-0005-0000-0000-0000B7280000}"/>
    <cellStyle name="Input 5 14 2" xfId="18237" xr:uid="{00000000-0005-0000-0000-0000B8280000}"/>
    <cellStyle name="Input 5 2" xfId="1329" xr:uid="{00000000-0005-0000-0000-0000B9280000}"/>
    <cellStyle name="Input 5 2 2" xfId="1833" xr:uid="{00000000-0005-0000-0000-0000BA280000}"/>
    <cellStyle name="Input 5 2 2 2" xfId="3695" xr:uid="{00000000-0005-0000-0000-0000BB280000}"/>
    <cellStyle name="Input 5 2 2 2 2" xfId="7751" xr:uid="{00000000-0005-0000-0000-0000BC280000}"/>
    <cellStyle name="Input 5 2 2 2 2 2" xfId="23636" xr:uid="{00000000-0005-0000-0000-0000BD280000}"/>
    <cellStyle name="Input 5 2 2 2 3" xfId="14030" xr:uid="{00000000-0005-0000-0000-0000BE280000}"/>
    <cellStyle name="Input 5 2 2 2 3 2" xfId="28862" xr:uid="{00000000-0005-0000-0000-0000BF280000}"/>
    <cellStyle name="Input 5 2 2 2 4" xfId="21297" xr:uid="{00000000-0005-0000-0000-0000C0280000}"/>
    <cellStyle name="Input 5 2 2 3" xfId="4811" xr:uid="{00000000-0005-0000-0000-0000C1280000}"/>
    <cellStyle name="Input 5 2 2 3 2" xfId="8850" xr:uid="{00000000-0005-0000-0000-0000C2280000}"/>
    <cellStyle name="Input 5 2 2 3 2 2" xfId="24348" xr:uid="{00000000-0005-0000-0000-0000C3280000}"/>
    <cellStyle name="Input 5 2 2 3 3" xfId="15135" xr:uid="{00000000-0005-0000-0000-0000C4280000}"/>
    <cellStyle name="Input 5 2 2 3 3 2" xfId="29967" xr:uid="{00000000-0005-0000-0000-0000C5280000}"/>
    <cellStyle name="Input 5 2 2 3 4" xfId="21886" xr:uid="{00000000-0005-0000-0000-0000C6280000}"/>
    <cellStyle name="Input 5 2 2 4" xfId="2801" xr:uid="{00000000-0005-0000-0000-0000C7280000}"/>
    <cellStyle name="Input 5 2 2 4 2" xfId="6892" xr:uid="{00000000-0005-0000-0000-0000C8280000}"/>
    <cellStyle name="Input 5 2 2 4 2 2" xfId="23099" xr:uid="{00000000-0005-0000-0000-0000C9280000}"/>
    <cellStyle name="Input 5 2 2 4 3" xfId="13139" xr:uid="{00000000-0005-0000-0000-0000CA280000}"/>
    <cellStyle name="Input 5 2 2 4 3 2" xfId="27971" xr:uid="{00000000-0005-0000-0000-0000CB280000}"/>
    <cellStyle name="Input 5 2 2 4 4" xfId="20759" xr:uid="{00000000-0005-0000-0000-0000CC280000}"/>
    <cellStyle name="Input 5 2 2 5" xfId="5965" xr:uid="{00000000-0005-0000-0000-0000CD280000}"/>
    <cellStyle name="Input 5 2 2 5 2" xfId="16157" xr:uid="{00000000-0005-0000-0000-0000CE280000}"/>
    <cellStyle name="Input 5 2 2 5 2 2" xfId="30989" xr:uid="{00000000-0005-0000-0000-0000CF280000}"/>
    <cellStyle name="Input 5 2 2 5 3" xfId="22530" xr:uid="{00000000-0005-0000-0000-0000D0280000}"/>
    <cellStyle name="Input 5 2 2 6" xfId="12227" xr:uid="{00000000-0005-0000-0000-0000D1280000}"/>
    <cellStyle name="Input 5 2 2 6 2" xfId="27059" xr:uid="{00000000-0005-0000-0000-0000D2280000}"/>
    <cellStyle name="Input 5 2 2 7" xfId="9823" xr:uid="{00000000-0005-0000-0000-0000D3280000}"/>
    <cellStyle name="Input 5 2 2 7 2" xfId="20074" xr:uid="{00000000-0005-0000-0000-0000D4280000}"/>
    <cellStyle name="Input 5 2 3" xfId="3819" xr:uid="{00000000-0005-0000-0000-0000D5280000}"/>
    <cellStyle name="Input 5 2 3 2" xfId="7872" xr:uid="{00000000-0005-0000-0000-0000D6280000}"/>
    <cellStyle name="Input 5 2 3 2 2" xfId="23719" xr:uid="{00000000-0005-0000-0000-0000D7280000}"/>
    <cellStyle name="Input 5 2 3 3" xfId="14154" xr:uid="{00000000-0005-0000-0000-0000D8280000}"/>
    <cellStyle name="Input 5 2 3 3 2" xfId="28986" xr:uid="{00000000-0005-0000-0000-0000D9280000}"/>
    <cellStyle name="Input 5 2 3 4" xfId="21367" xr:uid="{00000000-0005-0000-0000-0000DA280000}"/>
    <cellStyle name="Input 5 2 4" xfId="4391" xr:uid="{00000000-0005-0000-0000-0000DB280000}"/>
    <cellStyle name="Input 5 2 4 2" xfId="8430" xr:uid="{00000000-0005-0000-0000-0000DC280000}"/>
    <cellStyle name="Input 5 2 4 2 2" xfId="24088" xr:uid="{00000000-0005-0000-0000-0000DD280000}"/>
    <cellStyle name="Input 5 2 4 3" xfId="14720" xr:uid="{00000000-0005-0000-0000-0000DE280000}"/>
    <cellStyle name="Input 5 2 4 3 2" xfId="29552" xr:uid="{00000000-0005-0000-0000-0000DF280000}"/>
    <cellStyle name="Input 5 2 4 4" xfId="21656" xr:uid="{00000000-0005-0000-0000-0000E0280000}"/>
    <cellStyle name="Input 5 2 5" xfId="2381" xr:uid="{00000000-0005-0000-0000-0000E1280000}"/>
    <cellStyle name="Input 5 2 5 2" xfId="6493" xr:uid="{00000000-0005-0000-0000-0000E2280000}"/>
    <cellStyle name="Input 5 2 5 2 2" xfId="22863" xr:uid="{00000000-0005-0000-0000-0000E3280000}"/>
    <cellStyle name="Input 5 2 5 3" xfId="12720" xr:uid="{00000000-0005-0000-0000-0000E4280000}"/>
    <cellStyle name="Input 5 2 5 3 2" xfId="27552" xr:uid="{00000000-0005-0000-0000-0000E5280000}"/>
    <cellStyle name="Input 5 2 5 4" xfId="20505" xr:uid="{00000000-0005-0000-0000-0000E6280000}"/>
    <cellStyle name="Input 5 2 6" xfId="5506" xr:uid="{00000000-0005-0000-0000-0000E7280000}"/>
    <cellStyle name="Input 5 2 6 2" xfId="15741" xr:uid="{00000000-0005-0000-0000-0000E8280000}"/>
    <cellStyle name="Input 5 2 6 2 2" xfId="30573" xr:uid="{00000000-0005-0000-0000-0000E9280000}"/>
    <cellStyle name="Input 5 2 6 3" xfId="22234" xr:uid="{00000000-0005-0000-0000-0000EA280000}"/>
    <cellStyle name="Input 5 2 7" xfId="11756" xr:uid="{00000000-0005-0000-0000-0000EB280000}"/>
    <cellStyle name="Input 5 2 7 2" xfId="26588" xr:uid="{00000000-0005-0000-0000-0000EC280000}"/>
    <cellStyle name="Input 5 2 8" xfId="9427" xr:uid="{00000000-0005-0000-0000-0000ED280000}"/>
    <cellStyle name="Input 5 2 8 2" xfId="19731" xr:uid="{00000000-0005-0000-0000-0000EE280000}"/>
    <cellStyle name="Input 5 3" xfId="1487" xr:uid="{00000000-0005-0000-0000-0000EF280000}"/>
    <cellStyle name="Input 5 3 2" xfId="1988" xr:uid="{00000000-0005-0000-0000-0000F0280000}"/>
    <cellStyle name="Input 5 3 2 2" xfId="3910" xr:uid="{00000000-0005-0000-0000-0000F1280000}"/>
    <cellStyle name="Input 5 3 2 2 2" xfId="7961" xr:uid="{00000000-0005-0000-0000-0000F2280000}"/>
    <cellStyle name="Input 5 3 2 2 2 2" xfId="23773" xr:uid="{00000000-0005-0000-0000-0000F3280000}"/>
    <cellStyle name="Input 5 3 2 2 3" xfId="14243" xr:uid="{00000000-0005-0000-0000-0000F4280000}"/>
    <cellStyle name="Input 5 3 2 2 3 2" xfId="29075" xr:uid="{00000000-0005-0000-0000-0000F5280000}"/>
    <cellStyle name="Input 5 3 2 2 4" xfId="21414" xr:uid="{00000000-0005-0000-0000-0000F6280000}"/>
    <cellStyle name="Input 5 3 2 3" xfId="4952" xr:uid="{00000000-0005-0000-0000-0000F7280000}"/>
    <cellStyle name="Input 5 3 2 3 2" xfId="8991" xr:uid="{00000000-0005-0000-0000-0000F8280000}"/>
    <cellStyle name="Input 5 3 2 3 2 2" xfId="24457" xr:uid="{00000000-0005-0000-0000-0000F9280000}"/>
    <cellStyle name="Input 5 3 2 3 3" xfId="15274" xr:uid="{00000000-0005-0000-0000-0000FA280000}"/>
    <cellStyle name="Input 5 3 2 3 3 2" xfId="30106" xr:uid="{00000000-0005-0000-0000-0000FB280000}"/>
    <cellStyle name="Input 5 3 2 3 4" xfId="21987" xr:uid="{00000000-0005-0000-0000-0000FC280000}"/>
    <cellStyle name="Input 5 3 2 4" xfId="2942" xr:uid="{00000000-0005-0000-0000-0000FD280000}"/>
    <cellStyle name="Input 5 3 2 4 2" xfId="7026" xr:uid="{00000000-0005-0000-0000-0000FE280000}"/>
    <cellStyle name="Input 5 3 2 4 2 2" xfId="23200" xr:uid="{00000000-0005-0000-0000-0000FF280000}"/>
    <cellStyle name="Input 5 3 2 4 3" xfId="13280" xr:uid="{00000000-0005-0000-0000-000000290000}"/>
    <cellStyle name="Input 5 3 2 4 3 2" xfId="28112" xr:uid="{00000000-0005-0000-0000-000001290000}"/>
    <cellStyle name="Input 5 3 2 4 4" xfId="20868" xr:uid="{00000000-0005-0000-0000-000002290000}"/>
    <cellStyle name="Input 5 3 2 5" xfId="6118" xr:uid="{00000000-0005-0000-0000-000003290000}"/>
    <cellStyle name="Input 5 3 2 5 2" xfId="16305" xr:uid="{00000000-0005-0000-0000-000004290000}"/>
    <cellStyle name="Input 5 3 2 5 2 2" xfId="31137" xr:uid="{00000000-0005-0000-0000-000005290000}"/>
    <cellStyle name="Input 5 3 2 5 3" xfId="22651" xr:uid="{00000000-0005-0000-0000-000006290000}"/>
    <cellStyle name="Input 5 3 2 6" xfId="12375" xr:uid="{00000000-0005-0000-0000-000007290000}"/>
    <cellStyle name="Input 5 3 2 6 2" xfId="27207" xr:uid="{00000000-0005-0000-0000-000008290000}"/>
    <cellStyle name="Input 5 3 2 7" xfId="9957" xr:uid="{00000000-0005-0000-0000-000009290000}"/>
    <cellStyle name="Input 5 3 2 7 2" xfId="20159" xr:uid="{00000000-0005-0000-0000-00000A290000}"/>
    <cellStyle name="Input 5 3 3" xfId="3949" xr:uid="{00000000-0005-0000-0000-00000B290000}"/>
    <cellStyle name="Input 5 3 3 2" xfId="7999" xr:uid="{00000000-0005-0000-0000-00000C290000}"/>
    <cellStyle name="Input 5 3 3 2 2" xfId="23799" xr:uid="{00000000-0005-0000-0000-00000D290000}"/>
    <cellStyle name="Input 5 3 3 3" xfId="14282" xr:uid="{00000000-0005-0000-0000-00000E290000}"/>
    <cellStyle name="Input 5 3 3 3 2" xfId="29114" xr:uid="{00000000-0005-0000-0000-00000F290000}"/>
    <cellStyle name="Input 5 3 3 4" xfId="21441" xr:uid="{00000000-0005-0000-0000-000010290000}"/>
    <cellStyle name="Input 5 3 4" xfId="4532" xr:uid="{00000000-0005-0000-0000-000011290000}"/>
    <cellStyle name="Input 5 3 4 2" xfId="8571" xr:uid="{00000000-0005-0000-0000-000012290000}"/>
    <cellStyle name="Input 5 3 4 2 2" xfId="24197" xr:uid="{00000000-0005-0000-0000-000013290000}"/>
    <cellStyle name="Input 5 3 4 3" xfId="14859" xr:uid="{00000000-0005-0000-0000-000014290000}"/>
    <cellStyle name="Input 5 3 4 3 2" xfId="29691" xr:uid="{00000000-0005-0000-0000-000015290000}"/>
    <cellStyle name="Input 5 3 4 4" xfId="21757" xr:uid="{00000000-0005-0000-0000-000016290000}"/>
    <cellStyle name="Input 5 3 5" xfId="2522" xr:uid="{00000000-0005-0000-0000-000017290000}"/>
    <cellStyle name="Input 5 3 5 2" xfId="6628" xr:uid="{00000000-0005-0000-0000-000018290000}"/>
    <cellStyle name="Input 5 3 5 2 2" xfId="22966" xr:uid="{00000000-0005-0000-0000-000019290000}"/>
    <cellStyle name="Input 5 3 5 3" xfId="12860" xr:uid="{00000000-0005-0000-0000-00001A290000}"/>
    <cellStyle name="Input 5 3 5 3 2" xfId="27692" xr:uid="{00000000-0005-0000-0000-00001B290000}"/>
    <cellStyle name="Input 5 3 5 4" xfId="20612" xr:uid="{00000000-0005-0000-0000-00001C290000}"/>
    <cellStyle name="Input 5 3 6" xfId="5645" xr:uid="{00000000-0005-0000-0000-00001D290000}"/>
    <cellStyle name="Input 5 3 6 2" xfId="15880" xr:uid="{00000000-0005-0000-0000-00001E290000}"/>
    <cellStyle name="Input 5 3 6 2 2" xfId="30712" xr:uid="{00000000-0005-0000-0000-00001F290000}"/>
    <cellStyle name="Input 5 3 6 3" xfId="22341" xr:uid="{00000000-0005-0000-0000-000020290000}"/>
    <cellStyle name="Input 5 3 7" xfId="11904" xr:uid="{00000000-0005-0000-0000-000021290000}"/>
    <cellStyle name="Input 5 3 7 2" xfId="26736" xr:uid="{00000000-0005-0000-0000-000022290000}"/>
    <cellStyle name="Input 5 3 8" xfId="9562" xr:uid="{00000000-0005-0000-0000-000023290000}"/>
    <cellStyle name="Input 5 3 8 2" xfId="19864" xr:uid="{00000000-0005-0000-0000-000024290000}"/>
    <cellStyle name="Input 5 4" xfId="1506" xr:uid="{00000000-0005-0000-0000-000025290000}"/>
    <cellStyle name="Input 5 4 2" xfId="2003" xr:uid="{00000000-0005-0000-0000-000026290000}"/>
    <cellStyle name="Input 5 4 2 2" xfId="3484" xr:uid="{00000000-0005-0000-0000-000027290000}"/>
    <cellStyle name="Input 5 4 2 2 2" xfId="7546" xr:uid="{00000000-0005-0000-0000-000028290000}"/>
    <cellStyle name="Input 5 4 2 2 2 2" xfId="23510" xr:uid="{00000000-0005-0000-0000-000029290000}"/>
    <cellStyle name="Input 5 4 2 2 3" xfId="13821" xr:uid="{00000000-0005-0000-0000-00002A290000}"/>
    <cellStyle name="Input 5 4 2 2 3 2" xfId="28653" xr:uid="{00000000-0005-0000-0000-00002B290000}"/>
    <cellStyle name="Input 5 4 2 2 4" xfId="21186" xr:uid="{00000000-0005-0000-0000-00002C290000}"/>
    <cellStyle name="Input 5 4 2 3" xfId="4971" xr:uid="{00000000-0005-0000-0000-00002D290000}"/>
    <cellStyle name="Input 5 4 2 3 2" xfId="9010" xr:uid="{00000000-0005-0000-0000-00002E290000}"/>
    <cellStyle name="Input 5 4 2 3 2 2" xfId="24476" xr:uid="{00000000-0005-0000-0000-00002F290000}"/>
    <cellStyle name="Input 5 4 2 3 3" xfId="15293" xr:uid="{00000000-0005-0000-0000-000030290000}"/>
    <cellStyle name="Input 5 4 2 3 3 2" xfId="30125" xr:uid="{00000000-0005-0000-0000-000031290000}"/>
    <cellStyle name="Input 5 4 2 3 4" xfId="22002" xr:uid="{00000000-0005-0000-0000-000032290000}"/>
    <cellStyle name="Input 5 4 2 4" xfId="2961" xr:uid="{00000000-0005-0000-0000-000033290000}"/>
    <cellStyle name="Input 5 4 2 4 2" xfId="7041" xr:uid="{00000000-0005-0000-0000-000034290000}"/>
    <cellStyle name="Input 5 4 2 4 2 2" xfId="23215" xr:uid="{00000000-0005-0000-0000-000035290000}"/>
    <cellStyle name="Input 5 4 2 4 3" xfId="13299" xr:uid="{00000000-0005-0000-0000-000036290000}"/>
    <cellStyle name="Input 5 4 2 4 3 2" xfId="28131" xr:uid="{00000000-0005-0000-0000-000037290000}"/>
    <cellStyle name="Input 5 4 2 4 4" xfId="20887" xr:uid="{00000000-0005-0000-0000-000038290000}"/>
    <cellStyle name="Input 5 4 2 5" xfId="6133" xr:uid="{00000000-0005-0000-0000-000039290000}"/>
    <cellStyle name="Input 5 4 2 5 2" xfId="16320" xr:uid="{00000000-0005-0000-0000-00003A290000}"/>
    <cellStyle name="Input 5 4 2 5 2 2" xfId="31152" xr:uid="{00000000-0005-0000-0000-00003B290000}"/>
    <cellStyle name="Input 5 4 2 5 3" xfId="22666" xr:uid="{00000000-0005-0000-0000-00003C290000}"/>
    <cellStyle name="Input 5 4 2 6" xfId="12390" xr:uid="{00000000-0005-0000-0000-00003D290000}"/>
    <cellStyle name="Input 5 4 2 6 2" xfId="27222" xr:uid="{00000000-0005-0000-0000-00003E290000}"/>
    <cellStyle name="Input 5 4 2 7" xfId="9972" xr:uid="{00000000-0005-0000-0000-00003F290000}"/>
    <cellStyle name="Input 5 4 2 7 2" xfId="20170" xr:uid="{00000000-0005-0000-0000-000040290000}"/>
    <cellStyle name="Input 5 4 3" xfId="3286" xr:uid="{00000000-0005-0000-0000-000041290000}"/>
    <cellStyle name="Input 5 4 3 2" xfId="7350" xr:uid="{00000000-0005-0000-0000-000042290000}"/>
    <cellStyle name="Input 5 4 3 2 2" xfId="23377" xr:uid="{00000000-0005-0000-0000-000043290000}"/>
    <cellStyle name="Input 5 4 3 3" xfId="13623" xr:uid="{00000000-0005-0000-0000-000044290000}"/>
    <cellStyle name="Input 5 4 3 3 2" xfId="28455" xr:uid="{00000000-0005-0000-0000-000045290000}"/>
    <cellStyle name="Input 5 4 3 4" xfId="21064" xr:uid="{00000000-0005-0000-0000-000046290000}"/>
    <cellStyle name="Input 5 4 4" xfId="4551" xr:uid="{00000000-0005-0000-0000-000047290000}"/>
    <cellStyle name="Input 5 4 4 2" xfId="8590" xr:uid="{00000000-0005-0000-0000-000048290000}"/>
    <cellStyle name="Input 5 4 4 2 2" xfId="24216" xr:uid="{00000000-0005-0000-0000-000049290000}"/>
    <cellStyle name="Input 5 4 4 3" xfId="14878" xr:uid="{00000000-0005-0000-0000-00004A290000}"/>
    <cellStyle name="Input 5 4 4 3 2" xfId="29710" xr:uid="{00000000-0005-0000-0000-00004B290000}"/>
    <cellStyle name="Input 5 4 4 4" xfId="21772" xr:uid="{00000000-0005-0000-0000-00004C290000}"/>
    <cellStyle name="Input 5 4 5" xfId="2541" xr:uid="{00000000-0005-0000-0000-00004D290000}"/>
    <cellStyle name="Input 5 4 5 2" xfId="6647" xr:uid="{00000000-0005-0000-0000-00004E290000}"/>
    <cellStyle name="Input 5 4 5 2 2" xfId="22985" xr:uid="{00000000-0005-0000-0000-00004F290000}"/>
    <cellStyle name="Input 5 4 5 3" xfId="12879" xr:uid="{00000000-0005-0000-0000-000050290000}"/>
    <cellStyle name="Input 5 4 5 3 2" xfId="27711" xr:uid="{00000000-0005-0000-0000-000051290000}"/>
    <cellStyle name="Input 5 4 5 4" xfId="20627" xr:uid="{00000000-0005-0000-0000-000052290000}"/>
    <cellStyle name="Input 5 4 6" xfId="5664" xr:uid="{00000000-0005-0000-0000-000053290000}"/>
    <cellStyle name="Input 5 4 6 2" xfId="15899" xr:uid="{00000000-0005-0000-0000-000054290000}"/>
    <cellStyle name="Input 5 4 6 2 2" xfId="30731" xr:uid="{00000000-0005-0000-0000-000055290000}"/>
    <cellStyle name="Input 5 4 6 3" xfId="22360" xr:uid="{00000000-0005-0000-0000-000056290000}"/>
    <cellStyle name="Input 5 4 7" xfId="11919" xr:uid="{00000000-0005-0000-0000-000057290000}"/>
    <cellStyle name="Input 5 4 7 2" xfId="26751" xr:uid="{00000000-0005-0000-0000-000058290000}"/>
    <cellStyle name="Input 5 4 8" xfId="9577" xr:uid="{00000000-0005-0000-0000-000059290000}"/>
    <cellStyle name="Input 5 4 8 2" xfId="19879" xr:uid="{00000000-0005-0000-0000-00005A290000}"/>
    <cellStyle name="Input 5 5" xfId="1493" xr:uid="{00000000-0005-0000-0000-00005B290000}"/>
    <cellStyle name="Input 5 5 2" xfId="1994" xr:uid="{00000000-0005-0000-0000-00005C290000}"/>
    <cellStyle name="Input 5 5 2 2" xfId="3474" xr:uid="{00000000-0005-0000-0000-00005D290000}"/>
    <cellStyle name="Input 5 5 2 2 2" xfId="7536" xr:uid="{00000000-0005-0000-0000-00005E290000}"/>
    <cellStyle name="Input 5 5 2 2 2 2" xfId="23502" xr:uid="{00000000-0005-0000-0000-00005F290000}"/>
    <cellStyle name="Input 5 5 2 2 3" xfId="13811" xr:uid="{00000000-0005-0000-0000-000060290000}"/>
    <cellStyle name="Input 5 5 2 2 3 2" xfId="28643" xr:uid="{00000000-0005-0000-0000-000061290000}"/>
    <cellStyle name="Input 5 5 2 2 4" xfId="21178" xr:uid="{00000000-0005-0000-0000-000062290000}"/>
    <cellStyle name="Input 5 5 2 3" xfId="4958" xr:uid="{00000000-0005-0000-0000-000063290000}"/>
    <cellStyle name="Input 5 5 2 3 2" xfId="8997" xr:uid="{00000000-0005-0000-0000-000064290000}"/>
    <cellStyle name="Input 5 5 2 3 2 2" xfId="24463" xr:uid="{00000000-0005-0000-0000-000065290000}"/>
    <cellStyle name="Input 5 5 2 3 3" xfId="15280" xr:uid="{00000000-0005-0000-0000-000066290000}"/>
    <cellStyle name="Input 5 5 2 3 3 2" xfId="30112" xr:uid="{00000000-0005-0000-0000-000067290000}"/>
    <cellStyle name="Input 5 5 2 3 4" xfId="21993" xr:uid="{00000000-0005-0000-0000-000068290000}"/>
    <cellStyle name="Input 5 5 2 4" xfId="2948" xr:uid="{00000000-0005-0000-0000-000069290000}"/>
    <cellStyle name="Input 5 5 2 4 2" xfId="7032" xr:uid="{00000000-0005-0000-0000-00006A290000}"/>
    <cellStyle name="Input 5 5 2 4 2 2" xfId="23206" xr:uid="{00000000-0005-0000-0000-00006B290000}"/>
    <cellStyle name="Input 5 5 2 4 3" xfId="13286" xr:uid="{00000000-0005-0000-0000-00006C290000}"/>
    <cellStyle name="Input 5 5 2 4 3 2" xfId="28118" xr:uid="{00000000-0005-0000-0000-00006D290000}"/>
    <cellStyle name="Input 5 5 2 4 4" xfId="20874" xr:uid="{00000000-0005-0000-0000-00006E290000}"/>
    <cellStyle name="Input 5 5 2 5" xfId="6124" xr:uid="{00000000-0005-0000-0000-00006F290000}"/>
    <cellStyle name="Input 5 5 2 5 2" xfId="16311" xr:uid="{00000000-0005-0000-0000-000070290000}"/>
    <cellStyle name="Input 5 5 2 5 2 2" xfId="31143" xr:uid="{00000000-0005-0000-0000-000071290000}"/>
    <cellStyle name="Input 5 5 2 5 3" xfId="22657" xr:uid="{00000000-0005-0000-0000-000072290000}"/>
    <cellStyle name="Input 5 5 2 6" xfId="12381" xr:uid="{00000000-0005-0000-0000-000073290000}"/>
    <cellStyle name="Input 5 5 2 6 2" xfId="27213" xr:uid="{00000000-0005-0000-0000-000074290000}"/>
    <cellStyle name="Input 5 5 2 7" xfId="9963" xr:uid="{00000000-0005-0000-0000-000075290000}"/>
    <cellStyle name="Input 5 5 2 7 2" xfId="20165" xr:uid="{00000000-0005-0000-0000-000076290000}"/>
    <cellStyle name="Input 5 5 3" xfId="4299" xr:uid="{00000000-0005-0000-0000-000077290000}"/>
    <cellStyle name="Input 5 5 3 2" xfId="8338" xr:uid="{00000000-0005-0000-0000-000078290000}"/>
    <cellStyle name="Input 5 5 3 2 2" xfId="24023" xr:uid="{00000000-0005-0000-0000-000079290000}"/>
    <cellStyle name="Input 5 5 3 3" xfId="14630" xr:uid="{00000000-0005-0000-0000-00007A290000}"/>
    <cellStyle name="Input 5 5 3 3 2" xfId="29462" xr:uid="{00000000-0005-0000-0000-00007B290000}"/>
    <cellStyle name="Input 5 5 3 4" xfId="21620" xr:uid="{00000000-0005-0000-0000-00007C290000}"/>
    <cellStyle name="Input 5 5 4" xfId="4538" xr:uid="{00000000-0005-0000-0000-00007D290000}"/>
    <cellStyle name="Input 5 5 4 2" xfId="8577" xr:uid="{00000000-0005-0000-0000-00007E290000}"/>
    <cellStyle name="Input 5 5 4 2 2" xfId="24203" xr:uid="{00000000-0005-0000-0000-00007F290000}"/>
    <cellStyle name="Input 5 5 4 3" xfId="14865" xr:uid="{00000000-0005-0000-0000-000080290000}"/>
    <cellStyle name="Input 5 5 4 3 2" xfId="29697" xr:uid="{00000000-0005-0000-0000-000081290000}"/>
    <cellStyle name="Input 5 5 4 4" xfId="21763" xr:uid="{00000000-0005-0000-0000-000082290000}"/>
    <cellStyle name="Input 5 5 5" xfId="2528" xr:uid="{00000000-0005-0000-0000-000083290000}"/>
    <cellStyle name="Input 5 5 5 2" xfId="6634" xr:uid="{00000000-0005-0000-0000-000084290000}"/>
    <cellStyle name="Input 5 5 5 2 2" xfId="22972" xr:uid="{00000000-0005-0000-0000-000085290000}"/>
    <cellStyle name="Input 5 5 5 3" xfId="12866" xr:uid="{00000000-0005-0000-0000-000086290000}"/>
    <cellStyle name="Input 5 5 5 3 2" xfId="27698" xr:uid="{00000000-0005-0000-0000-000087290000}"/>
    <cellStyle name="Input 5 5 5 4" xfId="20618" xr:uid="{00000000-0005-0000-0000-000088290000}"/>
    <cellStyle name="Input 5 5 6" xfId="5651" xr:uid="{00000000-0005-0000-0000-000089290000}"/>
    <cellStyle name="Input 5 5 6 2" xfId="15886" xr:uid="{00000000-0005-0000-0000-00008A290000}"/>
    <cellStyle name="Input 5 5 6 2 2" xfId="30718" xr:uid="{00000000-0005-0000-0000-00008B290000}"/>
    <cellStyle name="Input 5 5 6 3" xfId="22347" xr:uid="{00000000-0005-0000-0000-00008C290000}"/>
    <cellStyle name="Input 5 5 7" xfId="11910" xr:uid="{00000000-0005-0000-0000-00008D290000}"/>
    <cellStyle name="Input 5 5 7 2" xfId="26742" xr:uid="{00000000-0005-0000-0000-00008E290000}"/>
    <cellStyle name="Input 5 5 8" xfId="9568" xr:uid="{00000000-0005-0000-0000-00008F290000}"/>
    <cellStyle name="Input 5 5 8 2" xfId="19870" xr:uid="{00000000-0005-0000-0000-000090290000}"/>
    <cellStyle name="Input 5 6" xfId="1755" xr:uid="{00000000-0005-0000-0000-000091290000}"/>
    <cellStyle name="Input 5 6 2" xfId="3433" xr:uid="{00000000-0005-0000-0000-000092290000}"/>
    <cellStyle name="Input 5 6 2 2" xfId="7496" xr:uid="{00000000-0005-0000-0000-000093290000}"/>
    <cellStyle name="Input 5 6 2 2 2" xfId="23473" xr:uid="{00000000-0005-0000-0000-000094290000}"/>
    <cellStyle name="Input 5 6 2 3" xfId="13770" xr:uid="{00000000-0005-0000-0000-000095290000}"/>
    <cellStyle name="Input 5 6 2 3 2" xfId="28602" xr:uid="{00000000-0005-0000-0000-000096290000}"/>
    <cellStyle name="Input 5 6 2 4" xfId="21149" xr:uid="{00000000-0005-0000-0000-000097290000}"/>
    <cellStyle name="Input 5 6 3" xfId="4733" xr:uid="{00000000-0005-0000-0000-000098290000}"/>
    <cellStyle name="Input 5 6 3 2" xfId="8772" xr:uid="{00000000-0005-0000-0000-000099290000}"/>
    <cellStyle name="Input 5 6 3 2 2" xfId="24302" xr:uid="{00000000-0005-0000-0000-00009A290000}"/>
    <cellStyle name="Input 5 6 3 3" xfId="15057" xr:uid="{00000000-0005-0000-0000-00009B290000}"/>
    <cellStyle name="Input 5 6 3 3 2" xfId="29889" xr:uid="{00000000-0005-0000-0000-00009C290000}"/>
    <cellStyle name="Input 5 6 3 4" xfId="21840" xr:uid="{00000000-0005-0000-0000-00009D290000}"/>
    <cellStyle name="Input 5 6 4" xfId="2723" xr:uid="{00000000-0005-0000-0000-00009E290000}"/>
    <cellStyle name="Input 5 6 4 2" xfId="6814" xr:uid="{00000000-0005-0000-0000-00009F290000}"/>
    <cellStyle name="Input 5 6 4 2 2" xfId="23053" xr:uid="{00000000-0005-0000-0000-0000A0290000}"/>
    <cellStyle name="Input 5 6 4 3" xfId="13061" xr:uid="{00000000-0005-0000-0000-0000A1290000}"/>
    <cellStyle name="Input 5 6 4 3 2" xfId="27893" xr:uid="{00000000-0005-0000-0000-0000A2290000}"/>
    <cellStyle name="Input 5 6 4 4" xfId="20713" xr:uid="{00000000-0005-0000-0000-0000A3290000}"/>
    <cellStyle name="Input 5 6 5" xfId="5887" xr:uid="{00000000-0005-0000-0000-0000A4290000}"/>
    <cellStyle name="Input 5 6 5 2" xfId="16079" xr:uid="{00000000-0005-0000-0000-0000A5290000}"/>
    <cellStyle name="Input 5 6 5 2 2" xfId="30911" xr:uid="{00000000-0005-0000-0000-0000A6290000}"/>
    <cellStyle name="Input 5 6 5 3" xfId="22484" xr:uid="{00000000-0005-0000-0000-0000A7290000}"/>
    <cellStyle name="Input 5 6 6" xfId="12149" xr:uid="{00000000-0005-0000-0000-0000A8290000}"/>
    <cellStyle name="Input 5 6 6 2" xfId="26981" xr:uid="{00000000-0005-0000-0000-0000A9290000}"/>
    <cellStyle name="Input 5 6 7" xfId="9745" xr:uid="{00000000-0005-0000-0000-0000AA290000}"/>
    <cellStyle name="Input 5 6 7 2" xfId="20043" xr:uid="{00000000-0005-0000-0000-0000AB290000}"/>
    <cellStyle name="Input 5 7" xfId="2211" xr:uid="{00000000-0005-0000-0000-0000AC290000}"/>
    <cellStyle name="Input 5 7 2" xfId="4266" xr:uid="{00000000-0005-0000-0000-0000AD290000}"/>
    <cellStyle name="Input 5 7 2 2" xfId="8305" xr:uid="{00000000-0005-0000-0000-0000AE290000}"/>
    <cellStyle name="Input 5 7 2 2 2" xfId="23999" xr:uid="{00000000-0005-0000-0000-0000AF290000}"/>
    <cellStyle name="Input 5 7 2 3" xfId="14598" xr:uid="{00000000-0005-0000-0000-0000B0290000}"/>
    <cellStyle name="Input 5 7 2 3 2" xfId="29430" xr:uid="{00000000-0005-0000-0000-0000B1290000}"/>
    <cellStyle name="Input 5 7 2 4" xfId="21599" xr:uid="{00000000-0005-0000-0000-0000B2290000}"/>
    <cellStyle name="Input 5 7 3" xfId="5179" xr:uid="{00000000-0005-0000-0000-0000B3290000}"/>
    <cellStyle name="Input 5 7 3 2" xfId="9218" xr:uid="{00000000-0005-0000-0000-0000B4290000}"/>
    <cellStyle name="Input 5 7 3 2 2" xfId="24556" xr:uid="{00000000-0005-0000-0000-0000B5290000}"/>
    <cellStyle name="Input 5 7 3 3" xfId="15497" xr:uid="{00000000-0005-0000-0000-0000B6290000}"/>
    <cellStyle name="Input 5 7 3 3 2" xfId="30329" xr:uid="{00000000-0005-0000-0000-0000B7290000}"/>
    <cellStyle name="Input 5 7 3 4" xfId="22063" xr:uid="{00000000-0005-0000-0000-0000B8290000}"/>
    <cellStyle name="Input 5 7 4" xfId="4209" xr:uid="{00000000-0005-0000-0000-0000B9290000}"/>
    <cellStyle name="Input 5 7 4 2" xfId="8250" xr:uid="{00000000-0005-0000-0000-0000BA290000}"/>
    <cellStyle name="Input 5 7 4 2 2" xfId="23945" xr:uid="{00000000-0005-0000-0000-0000BB290000}"/>
    <cellStyle name="Input 5 7 4 3" xfId="14541" xr:uid="{00000000-0005-0000-0000-0000BC290000}"/>
    <cellStyle name="Input 5 7 4 3 2" xfId="29373" xr:uid="{00000000-0005-0000-0000-0000BD290000}"/>
    <cellStyle name="Input 5 7 4 4" xfId="21570" xr:uid="{00000000-0005-0000-0000-0000BE290000}"/>
    <cellStyle name="Input 5 7 5" xfId="6325" xr:uid="{00000000-0005-0000-0000-0000BF290000}"/>
    <cellStyle name="Input 5 7 5 2" xfId="22727" xr:uid="{00000000-0005-0000-0000-0000C0290000}"/>
    <cellStyle name="Input 5 7 6" xfId="12579" xr:uid="{00000000-0005-0000-0000-0000C1290000}"/>
    <cellStyle name="Input 5 7 6 2" xfId="27411" xr:uid="{00000000-0005-0000-0000-0000C2290000}"/>
    <cellStyle name="Input 5 7 7" xfId="20406" xr:uid="{00000000-0005-0000-0000-0000C3290000}"/>
    <cellStyle name="Input 5 8" xfId="3252" xr:uid="{00000000-0005-0000-0000-0000C4290000}"/>
    <cellStyle name="Input 5 8 2" xfId="7316" xr:uid="{00000000-0005-0000-0000-0000C5290000}"/>
    <cellStyle name="Input 5 8 2 2" xfId="23354" xr:uid="{00000000-0005-0000-0000-0000C6290000}"/>
    <cellStyle name="Input 5 8 3" xfId="13589" xr:uid="{00000000-0005-0000-0000-0000C7290000}"/>
    <cellStyle name="Input 5 8 3 2" xfId="28421" xr:uid="{00000000-0005-0000-0000-0000C8290000}"/>
    <cellStyle name="Input 5 8 4" xfId="21041" xr:uid="{00000000-0005-0000-0000-0000C9290000}"/>
    <cellStyle name="Input 5 9" xfId="3263" xr:uid="{00000000-0005-0000-0000-0000CA290000}"/>
    <cellStyle name="Input 5 9 2" xfId="7327" xr:uid="{00000000-0005-0000-0000-0000CB290000}"/>
    <cellStyle name="Input 5 9 2 2" xfId="23362" xr:uid="{00000000-0005-0000-0000-0000CC290000}"/>
    <cellStyle name="Input 5 9 3" xfId="13600" xr:uid="{00000000-0005-0000-0000-0000CD290000}"/>
    <cellStyle name="Input 5 9 3 2" xfId="28432" xr:uid="{00000000-0005-0000-0000-0000CE290000}"/>
    <cellStyle name="Input 5 9 4" xfId="21049" xr:uid="{00000000-0005-0000-0000-0000CF290000}"/>
    <cellStyle name="Input 6" xfId="1123" xr:uid="{00000000-0005-0000-0000-0000D0290000}"/>
    <cellStyle name="Input 6 10" xfId="2294" xr:uid="{00000000-0005-0000-0000-0000D1290000}"/>
    <cellStyle name="Input 6 10 2" xfId="6406" xr:uid="{00000000-0005-0000-0000-0000D2290000}"/>
    <cellStyle name="Input 6 10 2 2" xfId="22808" xr:uid="{00000000-0005-0000-0000-0000D3290000}"/>
    <cellStyle name="Input 6 10 3" xfId="12634" xr:uid="{00000000-0005-0000-0000-0000D4290000}"/>
    <cellStyle name="Input 6 10 3 2" xfId="27466" xr:uid="{00000000-0005-0000-0000-0000D5290000}"/>
    <cellStyle name="Input 6 10 4" xfId="20460" xr:uid="{00000000-0005-0000-0000-0000D6290000}"/>
    <cellStyle name="Input 6 11" xfId="5260" xr:uid="{00000000-0005-0000-0000-0000D7290000}"/>
    <cellStyle name="Input 6 11 2" xfId="15576" xr:uid="{00000000-0005-0000-0000-0000D8290000}"/>
    <cellStyle name="Input 6 11 2 2" xfId="30408" xr:uid="{00000000-0005-0000-0000-0000D9290000}"/>
    <cellStyle name="Input 6 11 3" xfId="22117" xr:uid="{00000000-0005-0000-0000-0000DA290000}"/>
    <cellStyle name="Input 6 12" xfId="5418" xr:uid="{00000000-0005-0000-0000-0000DB290000}"/>
    <cellStyle name="Input 6 12 2" xfId="15654" xr:uid="{00000000-0005-0000-0000-0000DC290000}"/>
    <cellStyle name="Input 6 12 2 2" xfId="30486" xr:uid="{00000000-0005-0000-0000-0000DD290000}"/>
    <cellStyle name="Input 6 12 3" xfId="22179" xr:uid="{00000000-0005-0000-0000-0000DE290000}"/>
    <cellStyle name="Input 6 13" xfId="9373" xr:uid="{00000000-0005-0000-0000-0000DF290000}"/>
    <cellStyle name="Input 6 13 2" xfId="24679" xr:uid="{00000000-0005-0000-0000-0000E0290000}"/>
    <cellStyle name="Input 6 14" xfId="5362" xr:uid="{00000000-0005-0000-0000-0000E1290000}"/>
    <cellStyle name="Input 6 14 2" xfId="18236" xr:uid="{00000000-0005-0000-0000-0000E2290000}"/>
    <cellStyle name="Input 6 2" xfId="1330" xr:uid="{00000000-0005-0000-0000-0000E3290000}"/>
    <cellStyle name="Input 6 2 2" xfId="1834" xr:uid="{00000000-0005-0000-0000-0000E4290000}"/>
    <cellStyle name="Input 6 2 2 2" xfId="3432" xr:uid="{00000000-0005-0000-0000-0000E5290000}"/>
    <cellStyle name="Input 6 2 2 2 2" xfId="7495" xr:uid="{00000000-0005-0000-0000-0000E6290000}"/>
    <cellStyle name="Input 6 2 2 2 2 2" xfId="23472" xr:uid="{00000000-0005-0000-0000-0000E7290000}"/>
    <cellStyle name="Input 6 2 2 2 3" xfId="13769" xr:uid="{00000000-0005-0000-0000-0000E8290000}"/>
    <cellStyle name="Input 6 2 2 2 3 2" xfId="28601" xr:uid="{00000000-0005-0000-0000-0000E9290000}"/>
    <cellStyle name="Input 6 2 2 2 4" xfId="21148" xr:uid="{00000000-0005-0000-0000-0000EA290000}"/>
    <cellStyle name="Input 6 2 2 3" xfId="4812" xr:uid="{00000000-0005-0000-0000-0000EB290000}"/>
    <cellStyle name="Input 6 2 2 3 2" xfId="8851" xr:uid="{00000000-0005-0000-0000-0000EC290000}"/>
    <cellStyle name="Input 6 2 2 3 2 2" xfId="24349" xr:uid="{00000000-0005-0000-0000-0000ED290000}"/>
    <cellStyle name="Input 6 2 2 3 3" xfId="15136" xr:uid="{00000000-0005-0000-0000-0000EE290000}"/>
    <cellStyle name="Input 6 2 2 3 3 2" xfId="29968" xr:uid="{00000000-0005-0000-0000-0000EF290000}"/>
    <cellStyle name="Input 6 2 2 3 4" xfId="21887" xr:uid="{00000000-0005-0000-0000-0000F0290000}"/>
    <cellStyle name="Input 6 2 2 4" xfId="2802" xr:uid="{00000000-0005-0000-0000-0000F1290000}"/>
    <cellStyle name="Input 6 2 2 4 2" xfId="6893" xr:uid="{00000000-0005-0000-0000-0000F2290000}"/>
    <cellStyle name="Input 6 2 2 4 2 2" xfId="23100" xr:uid="{00000000-0005-0000-0000-0000F3290000}"/>
    <cellStyle name="Input 6 2 2 4 3" xfId="13140" xr:uid="{00000000-0005-0000-0000-0000F4290000}"/>
    <cellStyle name="Input 6 2 2 4 3 2" xfId="27972" xr:uid="{00000000-0005-0000-0000-0000F5290000}"/>
    <cellStyle name="Input 6 2 2 4 4" xfId="20760" xr:uid="{00000000-0005-0000-0000-0000F6290000}"/>
    <cellStyle name="Input 6 2 2 5" xfId="5966" xr:uid="{00000000-0005-0000-0000-0000F7290000}"/>
    <cellStyle name="Input 6 2 2 5 2" xfId="16158" xr:uid="{00000000-0005-0000-0000-0000F8290000}"/>
    <cellStyle name="Input 6 2 2 5 2 2" xfId="30990" xr:uid="{00000000-0005-0000-0000-0000F9290000}"/>
    <cellStyle name="Input 6 2 2 5 3" xfId="22531" xr:uid="{00000000-0005-0000-0000-0000FA290000}"/>
    <cellStyle name="Input 6 2 2 6" xfId="12228" xr:uid="{00000000-0005-0000-0000-0000FB290000}"/>
    <cellStyle name="Input 6 2 2 6 2" xfId="27060" xr:uid="{00000000-0005-0000-0000-0000FC290000}"/>
    <cellStyle name="Input 6 2 2 7" xfId="9824" xr:uid="{00000000-0005-0000-0000-0000FD290000}"/>
    <cellStyle name="Input 6 2 2 7 2" xfId="20075" xr:uid="{00000000-0005-0000-0000-0000FE290000}"/>
    <cellStyle name="Input 6 2 3" xfId="3916" xr:uid="{00000000-0005-0000-0000-0000FF290000}"/>
    <cellStyle name="Input 6 2 3 2" xfId="7967" xr:uid="{00000000-0005-0000-0000-0000002A0000}"/>
    <cellStyle name="Input 6 2 3 2 2" xfId="23776" xr:uid="{00000000-0005-0000-0000-0000012A0000}"/>
    <cellStyle name="Input 6 2 3 3" xfId="14249" xr:uid="{00000000-0005-0000-0000-0000022A0000}"/>
    <cellStyle name="Input 6 2 3 3 2" xfId="29081" xr:uid="{00000000-0005-0000-0000-0000032A0000}"/>
    <cellStyle name="Input 6 2 3 4" xfId="21417" xr:uid="{00000000-0005-0000-0000-0000042A0000}"/>
    <cellStyle name="Input 6 2 4" xfId="4392" xr:uid="{00000000-0005-0000-0000-0000052A0000}"/>
    <cellStyle name="Input 6 2 4 2" xfId="8431" xr:uid="{00000000-0005-0000-0000-0000062A0000}"/>
    <cellStyle name="Input 6 2 4 2 2" xfId="24089" xr:uid="{00000000-0005-0000-0000-0000072A0000}"/>
    <cellStyle name="Input 6 2 4 3" xfId="14721" xr:uid="{00000000-0005-0000-0000-0000082A0000}"/>
    <cellStyle name="Input 6 2 4 3 2" xfId="29553" xr:uid="{00000000-0005-0000-0000-0000092A0000}"/>
    <cellStyle name="Input 6 2 4 4" xfId="21657" xr:uid="{00000000-0005-0000-0000-00000A2A0000}"/>
    <cellStyle name="Input 6 2 5" xfId="2382" xr:uid="{00000000-0005-0000-0000-00000B2A0000}"/>
    <cellStyle name="Input 6 2 5 2" xfId="6494" xr:uid="{00000000-0005-0000-0000-00000C2A0000}"/>
    <cellStyle name="Input 6 2 5 2 2" xfId="22864" xr:uid="{00000000-0005-0000-0000-00000D2A0000}"/>
    <cellStyle name="Input 6 2 5 3" xfId="12721" xr:uid="{00000000-0005-0000-0000-00000E2A0000}"/>
    <cellStyle name="Input 6 2 5 3 2" xfId="27553" xr:uid="{00000000-0005-0000-0000-00000F2A0000}"/>
    <cellStyle name="Input 6 2 5 4" xfId="20506" xr:uid="{00000000-0005-0000-0000-0000102A0000}"/>
    <cellStyle name="Input 6 2 6" xfId="5507" xr:uid="{00000000-0005-0000-0000-0000112A0000}"/>
    <cellStyle name="Input 6 2 6 2" xfId="15742" xr:uid="{00000000-0005-0000-0000-0000122A0000}"/>
    <cellStyle name="Input 6 2 6 2 2" xfId="30574" xr:uid="{00000000-0005-0000-0000-0000132A0000}"/>
    <cellStyle name="Input 6 2 6 3" xfId="22235" xr:uid="{00000000-0005-0000-0000-0000142A0000}"/>
    <cellStyle name="Input 6 2 7" xfId="11757" xr:uid="{00000000-0005-0000-0000-0000152A0000}"/>
    <cellStyle name="Input 6 2 7 2" xfId="26589" xr:uid="{00000000-0005-0000-0000-0000162A0000}"/>
    <cellStyle name="Input 6 2 8" xfId="9428" xr:uid="{00000000-0005-0000-0000-0000172A0000}"/>
    <cellStyle name="Input 6 2 8 2" xfId="19732" xr:uid="{00000000-0005-0000-0000-0000182A0000}"/>
    <cellStyle name="Input 6 3" xfId="1488" xr:uid="{00000000-0005-0000-0000-0000192A0000}"/>
    <cellStyle name="Input 6 3 2" xfId="1989" xr:uid="{00000000-0005-0000-0000-00001A2A0000}"/>
    <cellStyle name="Input 6 3 2 2" xfId="3822" xr:uid="{00000000-0005-0000-0000-00001B2A0000}"/>
    <cellStyle name="Input 6 3 2 2 2" xfId="7875" xr:uid="{00000000-0005-0000-0000-00001C2A0000}"/>
    <cellStyle name="Input 6 3 2 2 2 2" xfId="23721" xr:uid="{00000000-0005-0000-0000-00001D2A0000}"/>
    <cellStyle name="Input 6 3 2 2 3" xfId="14157" xr:uid="{00000000-0005-0000-0000-00001E2A0000}"/>
    <cellStyle name="Input 6 3 2 2 3 2" xfId="28989" xr:uid="{00000000-0005-0000-0000-00001F2A0000}"/>
    <cellStyle name="Input 6 3 2 2 4" xfId="21369" xr:uid="{00000000-0005-0000-0000-0000202A0000}"/>
    <cellStyle name="Input 6 3 2 3" xfId="4953" xr:uid="{00000000-0005-0000-0000-0000212A0000}"/>
    <cellStyle name="Input 6 3 2 3 2" xfId="8992" xr:uid="{00000000-0005-0000-0000-0000222A0000}"/>
    <cellStyle name="Input 6 3 2 3 2 2" xfId="24458" xr:uid="{00000000-0005-0000-0000-0000232A0000}"/>
    <cellStyle name="Input 6 3 2 3 3" xfId="15275" xr:uid="{00000000-0005-0000-0000-0000242A0000}"/>
    <cellStyle name="Input 6 3 2 3 3 2" xfId="30107" xr:uid="{00000000-0005-0000-0000-0000252A0000}"/>
    <cellStyle name="Input 6 3 2 3 4" xfId="21988" xr:uid="{00000000-0005-0000-0000-0000262A0000}"/>
    <cellStyle name="Input 6 3 2 4" xfId="2943" xr:uid="{00000000-0005-0000-0000-0000272A0000}"/>
    <cellStyle name="Input 6 3 2 4 2" xfId="7027" xr:uid="{00000000-0005-0000-0000-0000282A0000}"/>
    <cellStyle name="Input 6 3 2 4 2 2" xfId="23201" xr:uid="{00000000-0005-0000-0000-0000292A0000}"/>
    <cellStyle name="Input 6 3 2 4 3" xfId="13281" xr:uid="{00000000-0005-0000-0000-00002A2A0000}"/>
    <cellStyle name="Input 6 3 2 4 3 2" xfId="28113" xr:uid="{00000000-0005-0000-0000-00002B2A0000}"/>
    <cellStyle name="Input 6 3 2 4 4" xfId="20869" xr:uid="{00000000-0005-0000-0000-00002C2A0000}"/>
    <cellStyle name="Input 6 3 2 5" xfId="6119" xr:uid="{00000000-0005-0000-0000-00002D2A0000}"/>
    <cellStyle name="Input 6 3 2 5 2" xfId="16306" xr:uid="{00000000-0005-0000-0000-00002E2A0000}"/>
    <cellStyle name="Input 6 3 2 5 2 2" xfId="31138" xr:uid="{00000000-0005-0000-0000-00002F2A0000}"/>
    <cellStyle name="Input 6 3 2 5 3" xfId="22652" xr:uid="{00000000-0005-0000-0000-0000302A0000}"/>
    <cellStyle name="Input 6 3 2 6" xfId="12376" xr:uid="{00000000-0005-0000-0000-0000312A0000}"/>
    <cellStyle name="Input 6 3 2 6 2" xfId="27208" xr:uid="{00000000-0005-0000-0000-0000322A0000}"/>
    <cellStyle name="Input 6 3 2 7" xfId="9958" xr:uid="{00000000-0005-0000-0000-0000332A0000}"/>
    <cellStyle name="Input 6 3 2 7 2" xfId="20160" xr:uid="{00000000-0005-0000-0000-0000342A0000}"/>
    <cellStyle name="Input 6 3 3" xfId="3555" xr:uid="{00000000-0005-0000-0000-0000352A0000}"/>
    <cellStyle name="Input 6 3 3 2" xfId="7617" xr:uid="{00000000-0005-0000-0000-0000362A0000}"/>
    <cellStyle name="Input 6 3 3 2 2" xfId="23550" xr:uid="{00000000-0005-0000-0000-0000372A0000}"/>
    <cellStyle name="Input 6 3 3 3" xfId="13891" xr:uid="{00000000-0005-0000-0000-0000382A0000}"/>
    <cellStyle name="Input 6 3 3 3 2" xfId="28723" xr:uid="{00000000-0005-0000-0000-0000392A0000}"/>
    <cellStyle name="Input 6 3 3 4" xfId="21220" xr:uid="{00000000-0005-0000-0000-00003A2A0000}"/>
    <cellStyle name="Input 6 3 4" xfId="4533" xr:uid="{00000000-0005-0000-0000-00003B2A0000}"/>
    <cellStyle name="Input 6 3 4 2" xfId="8572" xr:uid="{00000000-0005-0000-0000-00003C2A0000}"/>
    <cellStyle name="Input 6 3 4 2 2" xfId="24198" xr:uid="{00000000-0005-0000-0000-00003D2A0000}"/>
    <cellStyle name="Input 6 3 4 3" xfId="14860" xr:uid="{00000000-0005-0000-0000-00003E2A0000}"/>
    <cellStyle name="Input 6 3 4 3 2" xfId="29692" xr:uid="{00000000-0005-0000-0000-00003F2A0000}"/>
    <cellStyle name="Input 6 3 4 4" xfId="21758" xr:uid="{00000000-0005-0000-0000-0000402A0000}"/>
    <cellStyle name="Input 6 3 5" xfId="2523" xr:uid="{00000000-0005-0000-0000-0000412A0000}"/>
    <cellStyle name="Input 6 3 5 2" xfId="6629" xr:uid="{00000000-0005-0000-0000-0000422A0000}"/>
    <cellStyle name="Input 6 3 5 2 2" xfId="22967" xr:uid="{00000000-0005-0000-0000-0000432A0000}"/>
    <cellStyle name="Input 6 3 5 3" xfId="12861" xr:uid="{00000000-0005-0000-0000-0000442A0000}"/>
    <cellStyle name="Input 6 3 5 3 2" xfId="27693" xr:uid="{00000000-0005-0000-0000-0000452A0000}"/>
    <cellStyle name="Input 6 3 5 4" xfId="20613" xr:uid="{00000000-0005-0000-0000-0000462A0000}"/>
    <cellStyle name="Input 6 3 6" xfId="5646" xr:uid="{00000000-0005-0000-0000-0000472A0000}"/>
    <cellStyle name="Input 6 3 6 2" xfId="15881" xr:uid="{00000000-0005-0000-0000-0000482A0000}"/>
    <cellStyle name="Input 6 3 6 2 2" xfId="30713" xr:uid="{00000000-0005-0000-0000-0000492A0000}"/>
    <cellStyle name="Input 6 3 6 3" xfId="22342" xr:uid="{00000000-0005-0000-0000-00004A2A0000}"/>
    <cellStyle name="Input 6 3 7" xfId="11905" xr:uid="{00000000-0005-0000-0000-00004B2A0000}"/>
    <cellStyle name="Input 6 3 7 2" xfId="26737" xr:uid="{00000000-0005-0000-0000-00004C2A0000}"/>
    <cellStyle name="Input 6 3 8" xfId="9563" xr:uid="{00000000-0005-0000-0000-00004D2A0000}"/>
    <cellStyle name="Input 6 3 8 2" xfId="19865" xr:uid="{00000000-0005-0000-0000-00004E2A0000}"/>
    <cellStyle name="Input 6 4" xfId="1394" xr:uid="{00000000-0005-0000-0000-00004F2A0000}"/>
    <cellStyle name="Input 6 4 2" xfId="1896" xr:uid="{00000000-0005-0000-0000-0000502A0000}"/>
    <cellStyle name="Input 6 4 2 2" xfId="3183" xr:uid="{00000000-0005-0000-0000-0000512A0000}"/>
    <cellStyle name="Input 6 4 2 2 2" xfId="7247" xr:uid="{00000000-0005-0000-0000-0000522A0000}"/>
    <cellStyle name="Input 6 4 2 2 2 2" xfId="23305" xr:uid="{00000000-0005-0000-0000-0000532A0000}"/>
    <cellStyle name="Input 6 4 2 2 3" xfId="13521" xr:uid="{00000000-0005-0000-0000-0000542A0000}"/>
    <cellStyle name="Input 6 4 2 2 3 2" xfId="28353" xr:uid="{00000000-0005-0000-0000-0000552A0000}"/>
    <cellStyle name="Input 6 4 2 2 4" xfId="20995" xr:uid="{00000000-0005-0000-0000-0000562A0000}"/>
    <cellStyle name="Input 6 4 2 3" xfId="4874" xr:uid="{00000000-0005-0000-0000-0000572A0000}"/>
    <cellStyle name="Input 6 4 2 3 2" xfId="8913" xr:uid="{00000000-0005-0000-0000-0000582A0000}"/>
    <cellStyle name="Input 6 4 2 3 2 2" xfId="24379" xr:uid="{00000000-0005-0000-0000-0000592A0000}"/>
    <cellStyle name="Input 6 4 2 3 3" xfId="15197" xr:uid="{00000000-0005-0000-0000-00005A2A0000}"/>
    <cellStyle name="Input 6 4 2 3 3 2" xfId="30029" xr:uid="{00000000-0005-0000-0000-00005B2A0000}"/>
    <cellStyle name="Input 6 4 2 3 4" xfId="21911" xr:uid="{00000000-0005-0000-0000-00005C2A0000}"/>
    <cellStyle name="Input 6 4 2 4" xfId="2864" xr:uid="{00000000-0005-0000-0000-00005D2A0000}"/>
    <cellStyle name="Input 6 4 2 4 2" xfId="6949" xr:uid="{00000000-0005-0000-0000-00005E2A0000}"/>
    <cellStyle name="Input 6 4 2 4 2 2" xfId="23124" xr:uid="{00000000-0005-0000-0000-00005F2A0000}"/>
    <cellStyle name="Input 6 4 2 4 3" xfId="13202" xr:uid="{00000000-0005-0000-0000-0000602A0000}"/>
    <cellStyle name="Input 6 4 2 4 3 2" xfId="28034" xr:uid="{00000000-0005-0000-0000-0000612A0000}"/>
    <cellStyle name="Input 6 4 2 4 4" xfId="20790" xr:uid="{00000000-0005-0000-0000-0000622A0000}"/>
    <cellStyle name="Input 6 4 2 5" xfId="6027" xr:uid="{00000000-0005-0000-0000-0000632A0000}"/>
    <cellStyle name="Input 6 4 2 5 2" xfId="16214" xr:uid="{00000000-0005-0000-0000-0000642A0000}"/>
    <cellStyle name="Input 6 4 2 5 2 2" xfId="31046" xr:uid="{00000000-0005-0000-0000-0000652A0000}"/>
    <cellStyle name="Input 6 4 2 5 3" xfId="22560" xr:uid="{00000000-0005-0000-0000-0000662A0000}"/>
    <cellStyle name="Input 6 4 2 6" xfId="12284" xr:uid="{00000000-0005-0000-0000-0000672A0000}"/>
    <cellStyle name="Input 6 4 2 6 2" xfId="27116" xr:uid="{00000000-0005-0000-0000-0000682A0000}"/>
    <cellStyle name="Input 6 4 2 7" xfId="9880" xr:uid="{00000000-0005-0000-0000-0000692A0000}"/>
    <cellStyle name="Input 6 4 2 7 2" xfId="20084" xr:uid="{00000000-0005-0000-0000-00006A2A0000}"/>
    <cellStyle name="Input 6 4 3" xfId="3943" xr:uid="{00000000-0005-0000-0000-00006B2A0000}"/>
    <cellStyle name="Input 6 4 3 2" xfId="7993" xr:uid="{00000000-0005-0000-0000-00006C2A0000}"/>
    <cellStyle name="Input 6 4 3 2 2" xfId="23794" xr:uid="{00000000-0005-0000-0000-00006D2A0000}"/>
    <cellStyle name="Input 6 4 3 3" xfId="14276" xr:uid="{00000000-0005-0000-0000-00006E2A0000}"/>
    <cellStyle name="Input 6 4 3 3 2" xfId="29108" xr:uid="{00000000-0005-0000-0000-00006F2A0000}"/>
    <cellStyle name="Input 6 4 3 4" xfId="21436" xr:uid="{00000000-0005-0000-0000-0000702A0000}"/>
    <cellStyle name="Input 6 4 4" xfId="4454" xr:uid="{00000000-0005-0000-0000-0000712A0000}"/>
    <cellStyle name="Input 6 4 4 2" xfId="8493" xr:uid="{00000000-0005-0000-0000-0000722A0000}"/>
    <cellStyle name="Input 6 4 4 2 2" xfId="24119" xr:uid="{00000000-0005-0000-0000-0000732A0000}"/>
    <cellStyle name="Input 6 4 4 3" xfId="14782" xr:uid="{00000000-0005-0000-0000-0000742A0000}"/>
    <cellStyle name="Input 6 4 4 3 2" xfId="29614" xr:uid="{00000000-0005-0000-0000-0000752A0000}"/>
    <cellStyle name="Input 6 4 4 4" xfId="21681" xr:uid="{00000000-0005-0000-0000-0000762A0000}"/>
    <cellStyle name="Input 6 4 5" xfId="2444" xr:uid="{00000000-0005-0000-0000-0000772A0000}"/>
    <cellStyle name="Input 6 4 5 2" xfId="6550" xr:uid="{00000000-0005-0000-0000-0000782A0000}"/>
    <cellStyle name="Input 6 4 5 2 2" xfId="22888" xr:uid="{00000000-0005-0000-0000-0000792A0000}"/>
    <cellStyle name="Input 6 4 5 3" xfId="12783" xr:uid="{00000000-0005-0000-0000-00007A2A0000}"/>
    <cellStyle name="Input 6 4 5 3 2" xfId="27615" xr:uid="{00000000-0005-0000-0000-00007B2A0000}"/>
    <cellStyle name="Input 6 4 5 4" xfId="20536" xr:uid="{00000000-0005-0000-0000-00007C2A0000}"/>
    <cellStyle name="Input 6 4 6" xfId="5568" xr:uid="{00000000-0005-0000-0000-00007D2A0000}"/>
    <cellStyle name="Input 6 4 6 2" xfId="15803" xr:uid="{00000000-0005-0000-0000-00007E2A0000}"/>
    <cellStyle name="Input 6 4 6 2 2" xfId="30635" xr:uid="{00000000-0005-0000-0000-00007F2A0000}"/>
    <cellStyle name="Input 6 4 6 3" xfId="22264" xr:uid="{00000000-0005-0000-0000-0000802A0000}"/>
    <cellStyle name="Input 6 4 7" xfId="11813" xr:uid="{00000000-0005-0000-0000-0000812A0000}"/>
    <cellStyle name="Input 6 4 7 2" xfId="26645" xr:uid="{00000000-0005-0000-0000-0000822A0000}"/>
    <cellStyle name="Input 6 4 8" xfId="9485" xr:uid="{00000000-0005-0000-0000-0000832A0000}"/>
    <cellStyle name="Input 6 4 8 2" xfId="19788" xr:uid="{00000000-0005-0000-0000-0000842A0000}"/>
    <cellStyle name="Input 6 5" xfId="1494" xr:uid="{00000000-0005-0000-0000-0000852A0000}"/>
    <cellStyle name="Input 6 5 2" xfId="1995" xr:uid="{00000000-0005-0000-0000-0000862A0000}"/>
    <cellStyle name="Input 6 5 2 2" xfId="4097" xr:uid="{00000000-0005-0000-0000-0000872A0000}"/>
    <cellStyle name="Input 6 5 2 2 2" xfId="8143" xr:uid="{00000000-0005-0000-0000-0000882A0000}"/>
    <cellStyle name="Input 6 5 2 2 2 2" xfId="23888" xr:uid="{00000000-0005-0000-0000-0000892A0000}"/>
    <cellStyle name="Input 6 5 2 2 3" xfId="14429" xr:uid="{00000000-0005-0000-0000-00008A2A0000}"/>
    <cellStyle name="Input 6 5 2 2 3 2" xfId="29261" xr:uid="{00000000-0005-0000-0000-00008B2A0000}"/>
    <cellStyle name="Input 6 5 2 2 4" xfId="21518" xr:uid="{00000000-0005-0000-0000-00008C2A0000}"/>
    <cellStyle name="Input 6 5 2 3" xfId="4959" xr:uid="{00000000-0005-0000-0000-00008D2A0000}"/>
    <cellStyle name="Input 6 5 2 3 2" xfId="8998" xr:uid="{00000000-0005-0000-0000-00008E2A0000}"/>
    <cellStyle name="Input 6 5 2 3 2 2" xfId="24464" xr:uid="{00000000-0005-0000-0000-00008F2A0000}"/>
    <cellStyle name="Input 6 5 2 3 3" xfId="15281" xr:uid="{00000000-0005-0000-0000-0000902A0000}"/>
    <cellStyle name="Input 6 5 2 3 3 2" xfId="30113" xr:uid="{00000000-0005-0000-0000-0000912A0000}"/>
    <cellStyle name="Input 6 5 2 3 4" xfId="21994" xr:uid="{00000000-0005-0000-0000-0000922A0000}"/>
    <cellStyle name="Input 6 5 2 4" xfId="2949" xr:uid="{00000000-0005-0000-0000-0000932A0000}"/>
    <cellStyle name="Input 6 5 2 4 2" xfId="7033" xr:uid="{00000000-0005-0000-0000-0000942A0000}"/>
    <cellStyle name="Input 6 5 2 4 2 2" xfId="23207" xr:uid="{00000000-0005-0000-0000-0000952A0000}"/>
    <cellStyle name="Input 6 5 2 4 3" xfId="13287" xr:uid="{00000000-0005-0000-0000-0000962A0000}"/>
    <cellStyle name="Input 6 5 2 4 3 2" xfId="28119" xr:uid="{00000000-0005-0000-0000-0000972A0000}"/>
    <cellStyle name="Input 6 5 2 4 4" xfId="20875" xr:uid="{00000000-0005-0000-0000-0000982A0000}"/>
    <cellStyle name="Input 6 5 2 5" xfId="6125" xr:uid="{00000000-0005-0000-0000-0000992A0000}"/>
    <cellStyle name="Input 6 5 2 5 2" xfId="16312" xr:uid="{00000000-0005-0000-0000-00009A2A0000}"/>
    <cellStyle name="Input 6 5 2 5 2 2" xfId="31144" xr:uid="{00000000-0005-0000-0000-00009B2A0000}"/>
    <cellStyle name="Input 6 5 2 5 3" xfId="22658" xr:uid="{00000000-0005-0000-0000-00009C2A0000}"/>
    <cellStyle name="Input 6 5 2 6" xfId="12382" xr:uid="{00000000-0005-0000-0000-00009D2A0000}"/>
    <cellStyle name="Input 6 5 2 6 2" xfId="27214" xr:uid="{00000000-0005-0000-0000-00009E2A0000}"/>
    <cellStyle name="Input 6 5 2 7" xfId="9964" xr:uid="{00000000-0005-0000-0000-00009F2A0000}"/>
    <cellStyle name="Input 6 5 2 7 2" xfId="20166" xr:uid="{00000000-0005-0000-0000-0000A02A0000}"/>
    <cellStyle name="Input 6 5 3" xfId="3224" xr:uid="{00000000-0005-0000-0000-0000A12A0000}"/>
    <cellStyle name="Input 6 5 3 2" xfId="7288" xr:uid="{00000000-0005-0000-0000-0000A22A0000}"/>
    <cellStyle name="Input 6 5 3 2 2" xfId="23331" xr:uid="{00000000-0005-0000-0000-0000A32A0000}"/>
    <cellStyle name="Input 6 5 3 3" xfId="13562" xr:uid="{00000000-0005-0000-0000-0000A42A0000}"/>
    <cellStyle name="Input 6 5 3 3 2" xfId="28394" xr:uid="{00000000-0005-0000-0000-0000A52A0000}"/>
    <cellStyle name="Input 6 5 3 4" xfId="21020" xr:uid="{00000000-0005-0000-0000-0000A62A0000}"/>
    <cellStyle name="Input 6 5 4" xfId="4539" xr:uid="{00000000-0005-0000-0000-0000A72A0000}"/>
    <cellStyle name="Input 6 5 4 2" xfId="8578" xr:uid="{00000000-0005-0000-0000-0000A82A0000}"/>
    <cellStyle name="Input 6 5 4 2 2" xfId="24204" xr:uid="{00000000-0005-0000-0000-0000A92A0000}"/>
    <cellStyle name="Input 6 5 4 3" xfId="14866" xr:uid="{00000000-0005-0000-0000-0000AA2A0000}"/>
    <cellStyle name="Input 6 5 4 3 2" xfId="29698" xr:uid="{00000000-0005-0000-0000-0000AB2A0000}"/>
    <cellStyle name="Input 6 5 4 4" xfId="21764" xr:uid="{00000000-0005-0000-0000-0000AC2A0000}"/>
    <cellStyle name="Input 6 5 5" xfId="2529" xr:uid="{00000000-0005-0000-0000-0000AD2A0000}"/>
    <cellStyle name="Input 6 5 5 2" xfId="6635" xr:uid="{00000000-0005-0000-0000-0000AE2A0000}"/>
    <cellStyle name="Input 6 5 5 2 2" xfId="22973" xr:uid="{00000000-0005-0000-0000-0000AF2A0000}"/>
    <cellStyle name="Input 6 5 5 3" xfId="12867" xr:uid="{00000000-0005-0000-0000-0000B02A0000}"/>
    <cellStyle name="Input 6 5 5 3 2" xfId="27699" xr:uid="{00000000-0005-0000-0000-0000B12A0000}"/>
    <cellStyle name="Input 6 5 5 4" xfId="20619" xr:uid="{00000000-0005-0000-0000-0000B22A0000}"/>
    <cellStyle name="Input 6 5 6" xfId="5652" xr:uid="{00000000-0005-0000-0000-0000B32A0000}"/>
    <cellStyle name="Input 6 5 6 2" xfId="15887" xr:uid="{00000000-0005-0000-0000-0000B42A0000}"/>
    <cellStyle name="Input 6 5 6 2 2" xfId="30719" xr:uid="{00000000-0005-0000-0000-0000B52A0000}"/>
    <cellStyle name="Input 6 5 6 3" xfId="22348" xr:uid="{00000000-0005-0000-0000-0000B62A0000}"/>
    <cellStyle name="Input 6 5 7" xfId="11911" xr:uid="{00000000-0005-0000-0000-0000B72A0000}"/>
    <cellStyle name="Input 6 5 7 2" xfId="26743" xr:uid="{00000000-0005-0000-0000-0000B82A0000}"/>
    <cellStyle name="Input 6 5 8" xfId="9569" xr:uid="{00000000-0005-0000-0000-0000B92A0000}"/>
    <cellStyle name="Input 6 5 8 2" xfId="19871" xr:uid="{00000000-0005-0000-0000-0000BA2A0000}"/>
    <cellStyle name="Input 6 6" xfId="1756" xr:uid="{00000000-0005-0000-0000-0000BB2A0000}"/>
    <cellStyle name="Input 6 6 2" xfId="3788" xr:uid="{00000000-0005-0000-0000-0000BC2A0000}"/>
    <cellStyle name="Input 6 6 2 2" xfId="7843" xr:uid="{00000000-0005-0000-0000-0000BD2A0000}"/>
    <cellStyle name="Input 6 6 2 2 2" xfId="23699" xr:uid="{00000000-0005-0000-0000-0000BE2A0000}"/>
    <cellStyle name="Input 6 6 2 3" xfId="14123" xr:uid="{00000000-0005-0000-0000-0000BF2A0000}"/>
    <cellStyle name="Input 6 6 2 3 2" xfId="28955" xr:uid="{00000000-0005-0000-0000-0000C02A0000}"/>
    <cellStyle name="Input 6 6 2 4" xfId="21351" xr:uid="{00000000-0005-0000-0000-0000C12A0000}"/>
    <cellStyle name="Input 6 6 3" xfId="4734" xr:uid="{00000000-0005-0000-0000-0000C22A0000}"/>
    <cellStyle name="Input 6 6 3 2" xfId="8773" xr:uid="{00000000-0005-0000-0000-0000C32A0000}"/>
    <cellStyle name="Input 6 6 3 2 2" xfId="24303" xr:uid="{00000000-0005-0000-0000-0000C42A0000}"/>
    <cellStyle name="Input 6 6 3 3" xfId="15058" xr:uid="{00000000-0005-0000-0000-0000C52A0000}"/>
    <cellStyle name="Input 6 6 3 3 2" xfId="29890" xr:uid="{00000000-0005-0000-0000-0000C62A0000}"/>
    <cellStyle name="Input 6 6 3 4" xfId="21841" xr:uid="{00000000-0005-0000-0000-0000C72A0000}"/>
    <cellStyle name="Input 6 6 4" xfId="2724" xr:uid="{00000000-0005-0000-0000-0000C82A0000}"/>
    <cellStyle name="Input 6 6 4 2" xfId="6815" xr:uid="{00000000-0005-0000-0000-0000C92A0000}"/>
    <cellStyle name="Input 6 6 4 2 2" xfId="23054" xr:uid="{00000000-0005-0000-0000-0000CA2A0000}"/>
    <cellStyle name="Input 6 6 4 3" xfId="13062" xr:uid="{00000000-0005-0000-0000-0000CB2A0000}"/>
    <cellStyle name="Input 6 6 4 3 2" xfId="27894" xr:uid="{00000000-0005-0000-0000-0000CC2A0000}"/>
    <cellStyle name="Input 6 6 4 4" xfId="20714" xr:uid="{00000000-0005-0000-0000-0000CD2A0000}"/>
    <cellStyle name="Input 6 6 5" xfId="5888" xr:uid="{00000000-0005-0000-0000-0000CE2A0000}"/>
    <cellStyle name="Input 6 6 5 2" xfId="16080" xr:uid="{00000000-0005-0000-0000-0000CF2A0000}"/>
    <cellStyle name="Input 6 6 5 2 2" xfId="30912" xr:uid="{00000000-0005-0000-0000-0000D02A0000}"/>
    <cellStyle name="Input 6 6 5 3" xfId="22485" xr:uid="{00000000-0005-0000-0000-0000D12A0000}"/>
    <cellStyle name="Input 6 6 6" xfId="12150" xr:uid="{00000000-0005-0000-0000-0000D22A0000}"/>
    <cellStyle name="Input 6 6 6 2" xfId="26982" xr:uid="{00000000-0005-0000-0000-0000D32A0000}"/>
    <cellStyle name="Input 6 6 7" xfId="9746" xr:uid="{00000000-0005-0000-0000-0000D42A0000}"/>
    <cellStyle name="Input 6 6 7 2" xfId="20044" xr:uid="{00000000-0005-0000-0000-0000D52A0000}"/>
    <cellStyle name="Input 6 7" xfId="2210" xr:uid="{00000000-0005-0000-0000-0000D62A0000}"/>
    <cellStyle name="Input 6 7 2" xfId="3443" xr:uid="{00000000-0005-0000-0000-0000D72A0000}"/>
    <cellStyle name="Input 6 7 2 2" xfId="7506" xr:uid="{00000000-0005-0000-0000-0000D82A0000}"/>
    <cellStyle name="Input 6 7 2 2 2" xfId="23479" xr:uid="{00000000-0005-0000-0000-0000D92A0000}"/>
    <cellStyle name="Input 6 7 2 3" xfId="13780" xr:uid="{00000000-0005-0000-0000-0000DA2A0000}"/>
    <cellStyle name="Input 6 7 2 3 2" xfId="28612" xr:uid="{00000000-0005-0000-0000-0000DB2A0000}"/>
    <cellStyle name="Input 6 7 2 4" xfId="21155" xr:uid="{00000000-0005-0000-0000-0000DC2A0000}"/>
    <cellStyle name="Input 6 7 3" xfId="5178" xr:uid="{00000000-0005-0000-0000-0000DD2A0000}"/>
    <cellStyle name="Input 6 7 3 2" xfId="9217" xr:uid="{00000000-0005-0000-0000-0000DE2A0000}"/>
    <cellStyle name="Input 6 7 3 2 2" xfId="24555" xr:uid="{00000000-0005-0000-0000-0000DF2A0000}"/>
    <cellStyle name="Input 6 7 3 3" xfId="15496" xr:uid="{00000000-0005-0000-0000-0000E02A0000}"/>
    <cellStyle name="Input 6 7 3 3 2" xfId="30328" xr:uid="{00000000-0005-0000-0000-0000E12A0000}"/>
    <cellStyle name="Input 6 7 3 4" xfId="22062" xr:uid="{00000000-0005-0000-0000-0000E22A0000}"/>
    <cellStyle name="Input 6 7 4" xfId="4208" xr:uid="{00000000-0005-0000-0000-0000E32A0000}"/>
    <cellStyle name="Input 6 7 4 2" xfId="8249" xr:uid="{00000000-0005-0000-0000-0000E42A0000}"/>
    <cellStyle name="Input 6 7 4 2 2" xfId="23944" xr:uid="{00000000-0005-0000-0000-0000E52A0000}"/>
    <cellStyle name="Input 6 7 4 3" xfId="14540" xr:uid="{00000000-0005-0000-0000-0000E62A0000}"/>
    <cellStyle name="Input 6 7 4 3 2" xfId="29372" xr:uid="{00000000-0005-0000-0000-0000E72A0000}"/>
    <cellStyle name="Input 6 7 4 4" xfId="21569" xr:uid="{00000000-0005-0000-0000-0000E82A0000}"/>
    <cellStyle name="Input 6 7 5" xfId="6324" xr:uid="{00000000-0005-0000-0000-0000E92A0000}"/>
    <cellStyle name="Input 6 7 5 2" xfId="22726" xr:uid="{00000000-0005-0000-0000-0000EA2A0000}"/>
    <cellStyle name="Input 6 7 6" xfId="12578" xr:uid="{00000000-0005-0000-0000-0000EB2A0000}"/>
    <cellStyle name="Input 6 7 6 2" xfId="27410" xr:uid="{00000000-0005-0000-0000-0000EC2A0000}"/>
    <cellStyle name="Input 6 7 7" xfId="20405" xr:uid="{00000000-0005-0000-0000-0000ED2A0000}"/>
    <cellStyle name="Input 6 8" xfId="3259" xr:uid="{00000000-0005-0000-0000-0000EE2A0000}"/>
    <cellStyle name="Input 6 8 2" xfId="7323" xr:uid="{00000000-0005-0000-0000-0000EF2A0000}"/>
    <cellStyle name="Input 6 8 2 2" xfId="23358" xr:uid="{00000000-0005-0000-0000-0000F02A0000}"/>
    <cellStyle name="Input 6 8 3" xfId="13596" xr:uid="{00000000-0005-0000-0000-0000F12A0000}"/>
    <cellStyle name="Input 6 8 3 2" xfId="28428" xr:uid="{00000000-0005-0000-0000-0000F22A0000}"/>
    <cellStyle name="Input 6 8 4" xfId="21045" xr:uid="{00000000-0005-0000-0000-0000F32A0000}"/>
    <cellStyle name="Input 6 9" xfId="3316" xr:uid="{00000000-0005-0000-0000-0000F42A0000}"/>
    <cellStyle name="Input 6 9 2" xfId="7379" xr:uid="{00000000-0005-0000-0000-0000F52A0000}"/>
    <cellStyle name="Input 6 9 2 2" xfId="23395" xr:uid="{00000000-0005-0000-0000-0000F62A0000}"/>
    <cellStyle name="Input 6 9 3" xfId="13653" xr:uid="{00000000-0005-0000-0000-0000F72A0000}"/>
    <cellStyle name="Input 6 9 3 2" xfId="28485" xr:uid="{00000000-0005-0000-0000-0000F82A0000}"/>
    <cellStyle name="Input 6 9 4" xfId="21083" xr:uid="{00000000-0005-0000-0000-0000F92A0000}"/>
    <cellStyle name="Input 7" xfId="1124" xr:uid="{00000000-0005-0000-0000-0000FA2A0000}"/>
    <cellStyle name="Input 7 10" xfId="2295" xr:uid="{00000000-0005-0000-0000-0000FB2A0000}"/>
    <cellStyle name="Input 7 10 2" xfId="6407" xr:uid="{00000000-0005-0000-0000-0000FC2A0000}"/>
    <cellStyle name="Input 7 10 2 2" xfId="22809" xr:uid="{00000000-0005-0000-0000-0000FD2A0000}"/>
    <cellStyle name="Input 7 10 3" xfId="12635" xr:uid="{00000000-0005-0000-0000-0000FE2A0000}"/>
    <cellStyle name="Input 7 10 3 2" xfId="27467" xr:uid="{00000000-0005-0000-0000-0000FF2A0000}"/>
    <cellStyle name="Input 7 10 4" xfId="20461" xr:uid="{00000000-0005-0000-0000-0000002B0000}"/>
    <cellStyle name="Input 7 11" xfId="5261" xr:uid="{00000000-0005-0000-0000-0000012B0000}"/>
    <cellStyle name="Input 7 11 2" xfId="15577" xr:uid="{00000000-0005-0000-0000-0000022B0000}"/>
    <cellStyle name="Input 7 11 2 2" xfId="30409" xr:uid="{00000000-0005-0000-0000-0000032B0000}"/>
    <cellStyle name="Input 7 11 3" xfId="22118" xr:uid="{00000000-0005-0000-0000-0000042B0000}"/>
    <cellStyle name="Input 7 12" xfId="5419" xr:uid="{00000000-0005-0000-0000-0000052B0000}"/>
    <cellStyle name="Input 7 12 2" xfId="15655" xr:uid="{00000000-0005-0000-0000-0000062B0000}"/>
    <cellStyle name="Input 7 12 2 2" xfId="30487" xr:uid="{00000000-0005-0000-0000-0000072B0000}"/>
    <cellStyle name="Input 7 12 3" xfId="22180" xr:uid="{00000000-0005-0000-0000-0000082B0000}"/>
    <cellStyle name="Input 7 13" xfId="9372" xr:uid="{00000000-0005-0000-0000-0000092B0000}"/>
    <cellStyle name="Input 7 13 2" xfId="24678" xr:uid="{00000000-0005-0000-0000-00000A2B0000}"/>
    <cellStyle name="Input 7 14" xfId="5361" xr:uid="{00000000-0005-0000-0000-00000B2B0000}"/>
    <cellStyle name="Input 7 14 2" xfId="18235" xr:uid="{00000000-0005-0000-0000-00000C2B0000}"/>
    <cellStyle name="Input 7 2" xfId="1331" xr:uid="{00000000-0005-0000-0000-00000D2B0000}"/>
    <cellStyle name="Input 7 2 2" xfId="1835" xr:uid="{00000000-0005-0000-0000-00000E2B0000}"/>
    <cellStyle name="Input 7 2 2 2" xfId="3825" xr:uid="{00000000-0005-0000-0000-00000F2B0000}"/>
    <cellStyle name="Input 7 2 2 2 2" xfId="7878" xr:uid="{00000000-0005-0000-0000-0000102B0000}"/>
    <cellStyle name="Input 7 2 2 2 2 2" xfId="23722" xr:uid="{00000000-0005-0000-0000-0000112B0000}"/>
    <cellStyle name="Input 7 2 2 2 3" xfId="14160" xr:uid="{00000000-0005-0000-0000-0000122B0000}"/>
    <cellStyle name="Input 7 2 2 2 3 2" xfId="28992" xr:uid="{00000000-0005-0000-0000-0000132B0000}"/>
    <cellStyle name="Input 7 2 2 2 4" xfId="21370" xr:uid="{00000000-0005-0000-0000-0000142B0000}"/>
    <cellStyle name="Input 7 2 2 3" xfId="4813" xr:uid="{00000000-0005-0000-0000-0000152B0000}"/>
    <cellStyle name="Input 7 2 2 3 2" xfId="8852" xr:uid="{00000000-0005-0000-0000-0000162B0000}"/>
    <cellStyle name="Input 7 2 2 3 2 2" xfId="24350" xr:uid="{00000000-0005-0000-0000-0000172B0000}"/>
    <cellStyle name="Input 7 2 2 3 3" xfId="15137" xr:uid="{00000000-0005-0000-0000-0000182B0000}"/>
    <cellStyle name="Input 7 2 2 3 3 2" xfId="29969" xr:uid="{00000000-0005-0000-0000-0000192B0000}"/>
    <cellStyle name="Input 7 2 2 3 4" xfId="21888" xr:uid="{00000000-0005-0000-0000-00001A2B0000}"/>
    <cellStyle name="Input 7 2 2 4" xfId="2803" xr:uid="{00000000-0005-0000-0000-00001B2B0000}"/>
    <cellStyle name="Input 7 2 2 4 2" xfId="6894" xr:uid="{00000000-0005-0000-0000-00001C2B0000}"/>
    <cellStyle name="Input 7 2 2 4 2 2" xfId="23101" xr:uid="{00000000-0005-0000-0000-00001D2B0000}"/>
    <cellStyle name="Input 7 2 2 4 3" xfId="13141" xr:uid="{00000000-0005-0000-0000-00001E2B0000}"/>
    <cellStyle name="Input 7 2 2 4 3 2" xfId="27973" xr:uid="{00000000-0005-0000-0000-00001F2B0000}"/>
    <cellStyle name="Input 7 2 2 4 4" xfId="20761" xr:uid="{00000000-0005-0000-0000-0000202B0000}"/>
    <cellStyle name="Input 7 2 2 5" xfId="5967" xr:uid="{00000000-0005-0000-0000-0000212B0000}"/>
    <cellStyle name="Input 7 2 2 5 2" xfId="16159" xr:uid="{00000000-0005-0000-0000-0000222B0000}"/>
    <cellStyle name="Input 7 2 2 5 2 2" xfId="30991" xr:uid="{00000000-0005-0000-0000-0000232B0000}"/>
    <cellStyle name="Input 7 2 2 5 3" xfId="22532" xr:uid="{00000000-0005-0000-0000-0000242B0000}"/>
    <cellStyle name="Input 7 2 2 6" xfId="12229" xr:uid="{00000000-0005-0000-0000-0000252B0000}"/>
    <cellStyle name="Input 7 2 2 6 2" xfId="27061" xr:uid="{00000000-0005-0000-0000-0000262B0000}"/>
    <cellStyle name="Input 7 2 2 7" xfId="9825" xr:uid="{00000000-0005-0000-0000-0000272B0000}"/>
    <cellStyle name="Input 7 2 2 7 2" xfId="20076" xr:uid="{00000000-0005-0000-0000-0000282B0000}"/>
    <cellStyle name="Input 7 2 3" xfId="3198" xr:uid="{00000000-0005-0000-0000-0000292B0000}"/>
    <cellStyle name="Input 7 2 3 2" xfId="7262" xr:uid="{00000000-0005-0000-0000-00002A2B0000}"/>
    <cellStyle name="Input 7 2 3 2 2" xfId="23313" xr:uid="{00000000-0005-0000-0000-00002B2B0000}"/>
    <cellStyle name="Input 7 2 3 3" xfId="13536" xr:uid="{00000000-0005-0000-0000-00002C2B0000}"/>
    <cellStyle name="Input 7 2 3 3 2" xfId="28368" xr:uid="{00000000-0005-0000-0000-00002D2B0000}"/>
    <cellStyle name="Input 7 2 3 4" xfId="21003" xr:uid="{00000000-0005-0000-0000-00002E2B0000}"/>
    <cellStyle name="Input 7 2 4" xfId="4393" xr:uid="{00000000-0005-0000-0000-00002F2B0000}"/>
    <cellStyle name="Input 7 2 4 2" xfId="8432" xr:uid="{00000000-0005-0000-0000-0000302B0000}"/>
    <cellStyle name="Input 7 2 4 2 2" xfId="24090" xr:uid="{00000000-0005-0000-0000-0000312B0000}"/>
    <cellStyle name="Input 7 2 4 3" xfId="14722" xr:uid="{00000000-0005-0000-0000-0000322B0000}"/>
    <cellStyle name="Input 7 2 4 3 2" xfId="29554" xr:uid="{00000000-0005-0000-0000-0000332B0000}"/>
    <cellStyle name="Input 7 2 4 4" xfId="21658" xr:uid="{00000000-0005-0000-0000-0000342B0000}"/>
    <cellStyle name="Input 7 2 5" xfId="2383" xr:uid="{00000000-0005-0000-0000-0000352B0000}"/>
    <cellStyle name="Input 7 2 5 2" xfId="6495" xr:uid="{00000000-0005-0000-0000-0000362B0000}"/>
    <cellStyle name="Input 7 2 5 2 2" xfId="22865" xr:uid="{00000000-0005-0000-0000-0000372B0000}"/>
    <cellStyle name="Input 7 2 5 3" xfId="12722" xr:uid="{00000000-0005-0000-0000-0000382B0000}"/>
    <cellStyle name="Input 7 2 5 3 2" xfId="27554" xr:uid="{00000000-0005-0000-0000-0000392B0000}"/>
    <cellStyle name="Input 7 2 5 4" xfId="20507" xr:uid="{00000000-0005-0000-0000-00003A2B0000}"/>
    <cellStyle name="Input 7 2 6" xfId="5508" xr:uid="{00000000-0005-0000-0000-00003B2B0000}"/>
    <cellStyle name="Input 7 2 6 2" xfId="15743" xr:uid="{00000000-0005-0000-0000-00003C2B0000}"/>
    <cellStyle name="Input 7 2 6 2 2" xfId="30575" xr:uid="{00000000-0005-0000-0000-00003D2B0000}"/>
    <cellStyle name="Input 7 2 6 3" xfId="22236" xr:uid="{00000000-0005-0000-0000-00003E2B0000}"/>
    <cellStyle name="Input 7 2 7" xfId="11758" xr:uid="{00000000-0005-0000-0000-00003F2B0000}"/>
    <cellStyle name="Input 7 2 7 2" xfId="26590" xr:uid="{00000000-0005-0000-0000-0000402B0000}"/>
    <cellStyle name="Input 7 2 8" xfId="9429" xr:uid="{00000000-0005-0000-0000-0000412B0000}"/>
    <cellStyle name="Input 7 2 8 2" xfId="19733" xr:uid="{00000000-0005-0000-0000-0000422B0000}"/>
    <cellStyle name="Input 7 3" xfId="1489" xr:uid="{00000000-0005-0000-0000-0000432B0000}"/>
    <cellStyle name="Input 7 3 2" xfId="1990" xr:uid="{00000000-0005-0000-0000-0000442B0000}"/>
    <cellStyle name="Input 7 3 2 2" xfId="3913" xr:uid="{00000000-0005-0000-0000-0000452B0000}"/>
    <cellStyle name="Input 7 3 2 2 2" xfId="7964" xr:uid="{00000000-0005-0000-0000-0000462B0000}"/>
    <cellStyle name="Input 7 3 2 2 2 2" xfId="23774" xr:uid="{00000000-0005-0000-0000-0000472B0000}"/>
    <cellStyle name="Input 7 3 2 2 3" xfId="14246" xr:uid="{00000000-0005-0000-0000-0000482B0000}"/>
    <cellStyle name="Input 7 3 2 2 3 2" xfId="29078" xr:uid="{00000000-0005-0000-0000-0000492B0000}"/>
    <cellStyle name="Input 7 3 2 2 4" xfId="21415" xr:uid="{00000000-0005-0000-0000-00004A2B0000}"/>
    <cellStyle name="Input 7 3 2 3" xfId="4954" xr:uid="{00000000-0005-0000-0000-00004B2B0000}"/>
    <cellStyle name="Input 7 3 2 3 2" xfId="8993" xr:uid="{00000000-0005-0000-0000-00004C2B0000}"/>
    <cellStyle name="Input 7 3 2 3 2 2" xfId="24459" xr:uid="{00000000-0005-0000-0000-00004D2B0000}"/>
    <cellStyle name="Input 7 3 2 3 3" xfId="15276" xr:uid="{00000000-0005-0000-0000-00004E2B0000}"/>
    <cellStyle name="Input 7 3 2 3 3 2" xfId="30108" xr:uid="{00000000-0005-0000-0000-00004F2B0000}"/>
    <cellStyle name="Input 7 3 2 3 4" xfId="21989" xr:uid="{00000000-0005-0000-0000-0000502B0000}"/>
    <cellStyle name="Input 7 3 2 4" xfId="2944" xr:uid="{00000000-0005-0000-0000-0000512B0000}"/>
    <cellStyle name="Input 7 3 2 4 2" xfId="7028" xr:uid="{00000000-0005-0000-0000-0000522B0000}"/>
    <cellStyle name="Input 7 3 2 4 2 2" xfId="23202" xr:uid="{00000000-0005-0000-0000-0000532B0000}"/>
    <cellStyle name="Input 7 3 2 4 3" xfId="13282" xr:uid="{00000000-0005-0000-0000-0000542B0000}"/>
    <cellStyle name="Input 7 3 2 4 3 2" xfId="28114" xr:uid="{00000000-0005-0000-0000-0000552B0000}"/>
    <cellStyle name="Input 7 3 2 4 4" xfId="20870" xr:uid="{00000000-0005-0000-0000-0000562B0000}"/>
    <cellStyle name="Input 7 3 2 5" xfId="6120" xr:uid="{00000000-0005-0000-0000-0000572B0000}"/>
    <cellStyle name="Input 7 3 2 5 2" xfId="16307" xr:uid="{00000000-0005-0000-0000-0000582B0000}"/>
    <cellStyle name="Input 7 3 2 5 2 2" xfId="31139" xr:uid="{00000000-0005-0000-0000-0000592B0000}"/>
    <cellStyle name="Input 7 3 2 5 3" xfId="22653" xr:uid="{00000000-0005-0000-0000-00005A2B0000}"/>
    <cellStyle name="Input 7 3 2 6" xfId="12377" xr:uid="{00000000-0005-0000-0000-00005B2B0000}"/>
    <cellStyle name="Input 7 3 2 6 2" xfId="27209" xr:uid="{00000000-0005-0000-0000-00005C2B0000}"/>
    <cellStyle name="Input 7 3 2 7" xfId="9959" xr:uid="{00000000-0005-0000-0000-00005D2B0000}"/>
    <cellStyle name="Input 7 3 2 7 2" xfId="20161" xr:uid="{00000000-0005-0000-0000-00005E2B0000}"/>
    <cellStyle name="Input 7 3 3" xfId="4111" xr:uid="{00000000-0005-0000-0000-00005F2B0000}"/>
    <cellStyle name="Input 7 3 3 2" xfId="8157" xr:uid="{00000000-0005-0000-0000-0000602B0000}"/>
    <cellStyle name="Input 7 3 3 2 2" xfId="23896" xr:uid="{00000000-0005-0000-0000-0000612B0000}"/>
    <cellStyle name="Input 7 3 3 3" xfId="14443" xr:uid="{00000000-0005-0000-0000-0000622B0000}"/>
    <cellStyle name="Input 7 3 3 3 2" xfId="29275" xr:uid="{00000000-0005-0000-0000-0000632B0000}"/>
    <cellStyle name="Input 7 3 3 4" xfId="21526" xr:uid="{00000000-0005-0000-0000-0000642B0000}"/>
    <cellStyle name="Input 7 3 4" xfId="4534" xr:uid="{00000000-0005-0000-0000-0000652B0000}"/>
    <cellStyle name="Input 7 3 4 2" xfId="8573" xr:uid="{00000000-0005-0000-0000-0000662B0000}"/>
    <cellStyle name="Input 7 3 4 2 2" xfId="24199" xr:uid="{00000000-0005-0000-0000-0000672B0000}"/>
    <cellStyle name="Input 7 3 4 3" xfId="14861" xr:uid="{00000000-0005-0000-0000-0000682B0000}"/>
    <cellStyle name="Input 7 3 4 3 2" xfId="29693" xr:uid="{00000000-0005-0000-0000-0000692B0000}"/>
    <cellStyle name="Input 7 3 4 4" xfId="21759" xr:uid="{00000000-0005-0000-0000-00006A2B0000}"/>
    <cellStyle name="Input 7 3 5" xfId="2524" xr:uid="{00000000-0005-0000-0000-00006B2B0000}"/>
    <cellStyle name="Input 7 3 5 2" xfId="6630" xr:uid="{00000000-0005-0000-0000-00006C2B0000}"/>
    <cellStyle name="Input 7 3 5 2 2" xfId="22968" xr:uid="{00000000-0005-0000-0000-00006D2B0000}"/>
    <cellStyle name="Input 7 3 5 3" xfId="12862" xr:uid="{00000000-0005-0000-0000-00006E2B0000}"/>
    <cellStyle name="Input 7 3 5 3 2" xfId="27694" xr:uid="{00000000-0005-0000-0000-00006F2B0000}"/>
    <cellStyle name="Input 7 3 5 4" xfId="20614" xr:uid="{00000000-0005-0000-0000-0000702B0000}"/>
    <cellStyle name="Input 7 3 6" xfId="5647" xr:uid="{00000000-0005-0000-0000-0000712B0000}"/>
    <cellStyle name="Input 7 3 6 2" xfId="15882" xr:uid="{00000000-0005-0000-0000-0000722B0000}"/>
    <cellStyle name="Input 7 3 6 2 2" xfId="30714" xr:uid="{00000000-0005-0000-0000-0000732B0000}"/>
    <cellStyle name="Input 7 3 6 3" xfId="22343" xr:uid="{00000000-0005-0000-0000-0000742B0000}"/>
    <cellStyle name="Input 7 3 7" xfId="11906" xr:uid="{00000000-0005-0000-0000-0000752B0000}"/>
    <cellStyle name="Input 7 3 7 2" xfId="26738" xr:uid="{00000000-0005-0000-0000-0000762B0000}"/>
    <cellStyle name="Input 7 3 8" xfId="9564" xr:uid="{00000000-0005-0000-0000-0000772B0000}"/>
    <cellStyle name="Input 7 3 8 2" xfId="19866" xr:uid="{00000000-0005-0000-0000-0000782B0000}"/>
    <cellStyle name="Input 7 4" xfId="1391" xr:uid="{00000000-0005-0000-0000-0000792B0000}"/>
    <cellStyle name="Input 7 4 2" xfId="1893" xr:uid="{00000000-0005-0000-0000-00007A2B0000}"/>
    <cellStyle name="Input 7 4 2 2" xfId="3347" xr:uid="{00000000-0005-0000-0000-00007B2B0000}"/>
    <cellStyle name="Input 7 4 2 2 2" xfId="7410" xr:uid="{00000000-0005-0000-0000-00007C2B0000}"/>
    <cellStyle name="Input 7 4 2 2 2 2" xfId="23415" xr:uid="{00000000-0005-0000-0000-00007D2B0000}"/>
    <cellStyle name="Input 7 4 2 2 3" xfId="13684" xr:uid="{00000000-0005-0000-0000-00007E2B0000}"/>
    <cellStyle name="Input 7 4 2 2 3 2" xfId="28516" xr:uid="{00000000-0005-0000-0000-00007F2B0000}"/>
    <cellStyle name="Input 7 4 2 2 4" xfId="21102" xr:uid="{00000000-0005-0000-0000-0000802B0000}"/>
    <cellStyle name="Input 7 4 2 3" xfId="4871" xr:uid="{00000000-0005-0000-0000-0000812B0000}"/>
    <cellStyle name="Input 7 4 2 3 2" xfId="8910" xr:uid="{00000000-0005-0000-0000-0000822B0000}"/>
    <cellStyle name="Input 7 4 2 3 2 2" xfId="24376" xr:uid="{00000000-0005-0000-0000-0000832B0000}"/>
    <cellStyle name="Input 7 4 2 3 3" xfId="15194" xr:uid="{00000000-0005-0000-0000-0000842B0000}"/>
    <cellStyle name="Input 7 4 2 3 3 2" xfId="30026" xr:uid="{00000000-0005-0000-0000-0000852B0000}"/>
    <cellStyle name="Input 7 4 2 3 4" xfId="21908" xr:uid="{00000000-0005-0000-0000-0000862B0000}"/>
    <cellStyle name="Input 7 4 2 4" xfId="2861" xr:uid="{00000000-0005-0000-0000-0000872B0000}"/>
    <cellStyle name="Input 7 4 2 4 2" xfId="6946" xr:uid="{00000000-0005-0000-0000-0000882B0000}"/>
    <cellStyle name="Input 7 4 2 4 2 2" xfId="23121" xr:uid="{00000000-0005-0000-0000-0000892B0000}"/>
    <cellStyle name="Input 7 4 2 4 3" xfId="13199" xr:uid="{00000000-0005-0000-0000-00008A2B0000}"/>
    <cellStyle name="Input 7 4 2 4 3 2" xfId="28031" xr:uid="{00000000-0005-0000-0000-00008B2B0000}"/>
    <cellStyle name="Input 7 4 2 4 4" xfId="20787" xr:uid="{00000000-0005-0000-0000-00008C2B0000}"/>
    <cellStyle name="Input 7 4 2 5" xfId="6024" xr:uid="{00000000-0005-0000-0000-00008D2B0000}"/>
    <cellStyle name="Input 7 4 2 5 2" xfId="16211" xr:uid="{00000000-0005-0000-0000-00008E2B0000}"/>
    <cellStyle name="Input 7 4 2 5 2 2" xfId="31043" xr:uid="{00000000-0005-0000-0000-00008F2B0000}"/>
    <cellStyle name="Input 7 4 2 5 3" xfId="22557" xr:uid="{00000000-0005-0000-0000-0000902B0000}"/>
    <cellStyle name="Input 7 4 2 6" xfId="12281" xr:uid="{00000000-0005-0000-0000-0000912B0000}"/>
    <cellStyle name="Input 7 4 2 6 2" xfId="27113" xr:uid="{00000000-0005-0000-0000-0000922B0000}"/>
    <cellStyle name="Input 7 4 2 7" xfId="9877" xr:uid="{00000000-0005-0000-0000-0000932B0000}"/>
    <cellStyle name="Input 7 4 2 7 2" xfId="20081" xr:uid="{00000000-0005-0000-0000-0000942B0000}"/>
    <cellStyle name="Input 7 4 3" xfId="3456" xr:uid="{00000000-0005-0000-0000-0000952B0000}"/>
    <cellStyle name="Input 7 4 3 2" xfId="7519" xr:uid="{00000000-0005-0000-0000-0000962B0000}"/>
    <cellStyle name="Input 7 4 3 2 2" xfId="23489" xr:uid="{00000000-0005-0000-0000-0000972B0000}"/>
    <cellStyle name="Input 7 4 3 3" xfId="13793" xr:uid="{00000000-0005-0000-0000-0000982B0000}"/>
    <cellStyle name="Input 7 4 3 3 2" xfId="28625" xr:uid="{00000000-0005-0000-0000-0000992B0000}"/>
    <cellStyle name="Input 7 4 3 4" xfId="21164" xr:uid="{00000000-0005-0000-0000-00009A2B0000}"/>
    <cellStyle name="Input 7 4 4" xfId="4451" xr:uid="{00000000-0005-0000-0000-00009B2B0000}"/>
    <cellStyle name="Input 7 4 4 2" xfId="8490" xr:uid="{00000000-0005-0000-0000-00009C2B0000}"/>
    <cellStyle name="Input 7 4 4 2 2" xfId="24116" xr:uid="{00000000-0005-0000-0000-00009D2B0000}"/>
    <cellStyle name="Input 7 4 4 3" xfId="14779" xr:uid="{00000000-0005-0000-0000-00009E2B0000}"/>
    <cellStyle name="Input 7 4 4 3 2" xfId="29611" xr:uid="{00000000-0005-0000-0000-00009F2B0000}"/>
    <cellStyle name="Input 7 4 4 4" xfId="21678" xr:uid="{00000000-0005-0000-0000-0000A02B0000}"/>
    <cellStyle name="Input 7 4 5" xfId="2441" xr:uid="{00000000-0005-0000-0000-0000A12B0000}"/>
    <cellStyle name="Input 7 4 5 2" xfId="6547" xr:uid="{00000000-0005-0000-0000-0000A22B0000}"/>
    <cellStyle name="Input 7 4 5 2 2" xfId="22885" xr:uid="{00000000-0005-0000-0000-0000A32B0000}"/>
    <cellStyle name="Input 7 4 5 3" xfId="12780" xr:uid="{00000000-0005-0000-0000-0000A42B0000}"/>
    <cellStyle name="Input 7 4 5 3 2" xfId="27612" xr:uid="{00000000-0005-0000-0000-0000A52B0000}"/>
    <cellStyle name="Input 7 4 5 4" xfId="20533" xr:uid="{00000000-0005-0000-0000-0000A62B0000}"/>
    <cellStyle name="Input 7 4 6" xfId="5565" xr:uid="{00000000-0005-0000-0000-0000A72B0000}"/>
    <cellStyle name="Input 7 4 6 2" xfId="15800" xr:uid="{00000000-0005-0000-0000-0000A82B0000}"/>
    <cellStyle name="Input 7 4 6 2 2" xfId="30632" xr:uid="{00000000-0005-0000-0000-0000A92B0000}"/>
    <cellStyle name="Input 7 4 6 3" xfId="22261" xr:uid="{00000000-0005-0000-0000-0000AA2B0000}"/>
    <cellStyle name="Input 7 4 7" xfId="11810" xr:uid="{00000000-0005-0000-0000-0000AB2B0000}"/>
    <cellStyle name="Input 7 4 7 2" xfId="26642" xr:uid="{00000000-0005-0000-0000-0000AC2B0000}"/>
    <cellStyle name="Input 7 4 8" xfId="9482" xr:uid="{00000000-0005-0000-0000-0000AD2B0000}"/>
    <cellStyle name="Input 7 4 8 2" xfId="19785" xr:uid="{00000000-0005-0000-0000-0000AE2B0000}"/>
    <cellStyle name="Input 7 5" xfId="1495" xr:uid="{00000000-0005-0000-0000-0000AF2B0000}"/>
    <cellStyle name="Input 7 5 2" xfId="1996" xr:uid="{00000000-0005-0000-0000-0000B02B0000}"/>
    <cellStyle name="Input 7 5 2 2" xfId="3483" xr:uid="{00000000-0005-0000-0000-0000B12B0000}"/>
    <cellStyle name="Input 7 5 2 2 2" xfId="7545" xr:uid="{00000000-0005-0000-0000-0000B22B0000}"/>
    <cellStyle name="Input 7 5 2 2 2 2" xfId="23509" xr:uid="{00000000-0005-0000-0000-0000B32B0000}"/>
    <cellStyle name="Input 7 5 2 2 3" xfId="13820" xr:uid="{00000000-0005-0000-0000-0000B42B0000}"/>
    <cellStyle name="Input 7 5 2 2 3 2" xfId="28652" xr:uid="{00000000-0005-0000-0000-0000B52B0000}"/>
    <cellStyle name="Input 7 5 2 2 4" xfId="21185" xr:uid="{00000000-0005-0000-0000-0000B62B0000}"/>
    <cellStyle name="Input 7 5 2 3" xfId="4960" xr:uid="{00000000-0005-0000-0000-0000B72B0000}"/>
    <cellStyle name="Input 7 5 2 3 2" xfId="8999" xr:uid="{00000000-0005-0000-0000-0000B82B0000}"/>
    <cellStyle name="Input 7 5 2 3 2 2" xfId="24465" xr:uid="{00000000-0005-0000-0000-0000B92B0000}"/>
    <cellStyle name="Input 7 5 2 3 3" xfId="15282" xr:uid="{00000000-0005-0000-0000-0000BA2B0000}"/>
    <cellStyle name="Input 7 5 2 3 3 2" xfId="30114" xr:uid="{00000000-0005-0000-0000-0000BB2B0000}"/>
    <cellStyle name="Input 7 5 2 3 4" xfId="21995" xr:uid="{00000000-0005-0000-0000-0000BC2B0000}"/>
    <cellStyle name="Input 7 5 2 4" xfId="2950" xr:uid="{00000000-0005-0000-0000-0000BD2B0000}"/>
    <cellStyle name="Input 7 5 2 4 2" xfId="7034" xr:uid="{00000000-0005-0000-0000-0000BE2B0000}"/>
    <cellStyle name="Input 7 5 2 4 2 2" xfId="23208" xr:uid="{00000000-0005-0000-0000-0000BF2B0000}"/>
    <cellStyle name="Input 7 5 2 4 3" xfId="13288" xr:uid="{00000000-0005-0000-0000-0000C02B0000}"/>
    <cellStyle name="Input 7 5 2 4 3 2" xfId="28120" xr:uid="{00000000-0005-0000-0000-0000C12B0000}"/>
    <cellStyle name="Input 7 5 2 4 4" xfId="20876" xr:uid="{00000000-0005-0000-0000-0000C22B0000}"/>
    <cellStyle name="Input 7 5 2 5" xfId="6126" xr:uid="{00000000-0005-0000-0000-0000C32B0000}"/>
    <cellStyle name="Input 7 5 2 5 2" xfId="16313" xr:uid="{00000000-0005-0000-0000-0000C42B0000}"/>
    <cellStyle name="Input 7 5 2 5 2 2" xfId="31145" xr:uid="{00000000-0005-0000-0000-0000C52B0000}"/>
    <cellStyle name="Input 7 5 2 5 3" xfId="22659" xr:uid="{00000000-0005-0000-0000-0000C62B0000}"/>
    <cellStyle name="Input 7 5 2 6" xfId="12383" xr:uid="{00000000-0005-0000-0000-0000C72B0000}"/>
    <cellStyle name="Input 7 5 2 6 2" xfId="27215" xr:uid="{00000000-0005-0000-0000-0000C82B0000}"/>
    <cellStyle name="Input 7 5 2 7" xfId="9965" xr:uid="{00000000-0005-0000-0000-0000C92B0000}"/>
    <cellStyle name="Input 7 5 2 7 2" xfId="20167" xr:uid="{00000000-0005-0000-0000-0000CA2B0000}"/>
    <cellStyle name="Input 7 5 3" xfId="3164" xr:uid="{00000000-0005-0000-0000-0000CB2B0000}"/>
    <cellStyle name="Input 7 5 3 2" xfId="7228" xr:uid="{00000000-0005-0000-0000-0000CC2B0000}"/>
    <cellStyle name="Input 7 5 3 2 2" xfId="23291" xr:uid="{00000000-0005-0000-0000-0000CD2B0000}"/>
    <cellStyle name="Input 7 5 3 3" xfId="13502" xr:uid="{00000000-0005-0000-0000-0000CE2B0000}"/>
    <cellStyle name="Input 7 5 3 3 2" xfId="28334" xr:uid="{00000000-0005-0000-0000-0000CF2B0000}"/>
    <cellStyle name="Input 7 5 3 4" xfId="20982" xr:uid="{00000000-0005-0000-0000-0000D02B0000}"/>
    <cellStyle name="Input 7 5 4" xfId="4540" xr:uid="{00000000-0005-0000-0000-0000D12B0000}"/>
    <cellStyle name="Input 7 5 4 2" xfId="8579" xr:uid="{00000000-0005-0000-0000-0000D22B0000}"/>
    <cellStyle name="Input 7 5 4 2 2" xfId="24205" xr:uid="{00000000-0005-0000-0000-0000D32B0000}"/>
    <cellStyle name="Input 7 5 4 3" xfId="14867" xr:uid="{00000000-0005-0000-0000-0000D42B0000}"/>
    <cellStyle name="Input 7 5 4 3 2" xfId="29699" xr:uid="{00000000-0005-0000-0000-0000D52B0000}"/>
    <cellStyle name="Input 7 5 4 4" xfId="21765" xr:uid="{00000000-0005-0000-0000-0000D62B0000}"/>
    <cellStyle name="Input 7 5 5" xfId="2530" xr:uid="{00000000-0005-0000-0000-0000D72B0000}"/>
    <cellStyle name="Input 7 5 5 2" xfId="6636" xr:uid="{00000000-0005-0000-0000-0000D82B0000}"/>
    <cellStyle name="Input 7 5 5 2 2" xfId="22974" xr:uid="{00000000-0005-0000-0000-0000D92B0000}"/>
    <cellStyle name="Input 7 5 5 3" xfId="12868" xr:uid="{00000000-0005-0000-0000-0000DA2B0000}"/>
    <cellStyle name="Input 7 5 5 3 2" xfId="27700" xr:uid="{00000000-0005-0000-0000-0000DB2B0000}"/>
    <cellStyle name="Input 7 5 5 4" xfId="20620" xr:uid="{00000000-0005-0000-0000-0000DC2B0000}"/>
    <cellStyle name="Input 7 5 6" xfId="5653" xr:uid="{00000000-0005-0000-0000-0000DD2B0000}"/>
    <cellStyle name="Input 7 5 6 2" xfId="15888" xr:uid="{00000000-0005-0000-0000-0000DE2B0000}"/>
    <cellStyle name="Input 7 5 6 2 2" xfId="30720" xr:uid="{00000000-0005-0000-0000-0000DF2B0000}"/>
    <cellStyle name="Input 7 5 6 3" xfId="22349" xr:uid="{00000000-0005-0000-0000-0000E02B0000}"/>
    <cellStyle name="Input 7 5 7" xfId="11912" xr:uid="{00000000-0005-0000-0000-0000E12B0000}"/>
    <cellStyle name="Input 7 5 7 2" xfId="26744" xr:uid="{00000000-0005-0000-0000-0000E22B0000}"/>
    <cellStyle name="Input 7 5 8" xfId="9570" xr:uid="{00000000-0005-0000-0000-0000E32B0000}"/>
    <cellStyle name="Input 7 5 8 2" xfId="19872" xr:uid="{00000000-0005-0000-0000-0000E42B0000}"/>
    <cellStyle name="Input 7 6" xfId="1757" xr:uid="{00000000-0005-0000-0000-0000E52B0000}"/>
    <cellStyle name="Input 7 6 2" xfId="3626" xr:uid="{00000000-0005-0000-0000-0000E62B0000}"/>
    <cellStyle name="Input 7 6 2 2" xfId="7685" xr:uid="{00000000-0005-0000-0000-0000E72B0000}"/>
    <cellStyle name="Input 7 6 2 2 2" xfId="23594" xr:uid="{00000000-0005-0000-0000-0000E82B0000}"/>
    <cellStyle name="Input 7 6 2 3" xfId="13961" xr:uid="{00000000-0005-0000-0000-0000E92B0000}"/>
    <cellStyle name="Input 7 6 2 3 2" xfId="28793" xr:uid="{00000000-0005-0000-0000-0000EA2B0000}"/>
    <cellStyle name="Input 7 6 2 4" xfId="21259" xr:uid="{00000000-0005-0000-0000-0000EB2B0000}"/>
    <cellStyle name="Input 7 6 3" xfId="4735" xr:uid="{00000000-0005-0000-0000-0000EC2B0000}"/>
    <cellStyle name="Input 7 6 3 2" xfId="8774" xr:uid="{00000000-0005-0000-0000-0000ED2B0000}"/>
    <cellStyle name="Input 7 6 3 2 2" xfId="24304" xr:uid="{00000000-0005-0000-0000-0000EE2B0000}"/>
    <cellStyle name="Input 7 6 3 3" xfId="15059" xr:uid="{00000000-0005-0000-0000-0000EF2B0000}"/>
    <cellStyle name="Input 7 6 3 3 2" xfId="29891" xr:uid="{00000000-0005-0000-0000-0000F02B0000}"/>
    <cellStyle name="Input 7 6 3 4" xfId="21842" xr:uid="{00000000-0005-0000-0000-0000F12B0000}"/>
    <cellStyle name="Input 7 6 4" xfId="2725" xr:uid="{00000000-0005-0000-0000-0000F22B0000}"/>
    <cellStyle name="Input 7 6 4 2" xfId="6816" xr:uid="{00000000-0005-0000-0000-0000F32B0000}"/>
    <cellStyle name="Input 7 6 4 2 2" xfId="23055" xr:uid="{00000000-0005-0000-0000-0000F42B0000}"/>
    <cellStyle name="Input 7 6 4 3" xfId="13063" xr:uid="{00000000-0005-0000-0000-0000F52B0000}"/>
    <cellStyle name="Input 7 6 4 3 2" xfId="27895" xr:uid="{00000000-0005-0000-0000-0000F62B0000}"/>
    <cellStyle name="Input 7 6 4 4" xfId="20715" xr:uid="{00000000-0005-0000-0000-0000F72B0000}"/>
    <cellStyle name="Input 7 6 5" xfId="5889" xr:uid="{00000000-0005-0000-0000-0000F82B0000}"/>
    <cellStyle name="Input 7 6 5 2" xfId="16081" xr:uid="{00000000-0005-0000-0000-0000F92B0000}"/>
    <cellStyle name="Input 7 6 5 2 2" xfId="30913" xr:uid="{00000000-0005-0000-0000-0000FA2B0000}"/>
    <cellStyle name="Input 7 6 5 3" xfId="22486" xr:uid="{00000000-0005-0000-0000-0000FB2B0000}"/>
    <cellStyle name="Input 7 6 6" xfId="12151" xr:uid="{00000000-0005-0000-0000-0000FC2B0000}"/>
    <cellStyle name="Input 7 6 6 2" xfId="26983" xr:uid="{00000000-0005-0000-0000-0000FD2B0000}"/>
    <cellStyle name="Input 7 6 7" xfId="9747" xr:uid="{00000000-0005-0000-0000-0000FE2B0000}"/>
    <cellStyle name="Input 7 6 7 2" xfId="20045" xr:uid="{00000000-0005-0000-0000-0000FF2B0000}"/>
    <cellStyle name="Input 7 7" xfId="2209" xr:uid="{00000000-0005-0000-0000-0000002C0000}"/>
    <cellStyle name="Input 7 7 2" xfId="3422" xr:uid="{00000000-0005-0000-0000-0000012C0000}"/>
    <cellStyle name="Input 7 7 2 2" xfId="7485" xr:uid="{00000000-0005-0000-0000-0000022C0000}"/>
    <cellStyle name="Input 7 7 2 2 2" xfId="23465" xr:uid="{00000000-0005-0000-0000-0000032C0000}"/>
    <cellStyle name="Input 7 7 2 3" xfId="13759" xr:uid="{00000000-0005-0000-0000-0000042C0000}"/>
    <cellStyle name="Input 7 7 2 3 2" xfId="28591" xr:uid="{00000000-0005-0000-0000-0000052C0000}"/>
    <cellStyle name="Input 7 7 2 4" xfId="21142" xr:uid="{00000000-0005-0000-0000-0000062C0000}"/>
    <cellStyle name="Input 7 7 3" xfId="5177" xr:uid="{00000000-0005-0000-0000-0000072C0000}"/>
    <cellStyle name="Input 7 7 3 2" xfId="9216" xr:uid="{00000000-0005-0000-0000-0000082C0000}"/>
    <cellStyle name="Input 7 7 3 2 2" xfId="24554" xr:uid="{00000000-0005-0000-0000-0000092C0000}"/>
    <cellStyle name="Input 7 7 3 3" xfId="15495" xr:uid="{00000000-0005-0000-0000-00000A2C0000}"/>
    <cellStyle name="Input 7 7 3 3 2" xfId="30327" xr:uid="{00000000-0005-0000-0000-00000B2C0000}"/>
    <cellStyle name="Input 7 7 3 4" xfId="22061" xr:uid="{00000000-0005-0000-0000-00000C2C0000}"/>
    <cellStyle name="Input 7 7 4" xfId="4207" xr:uid="{00000000-0005-0000-0000-00000D2C0000}"/>
    <cellStyle name="Input 7 7 4 2" xfId="8248" xr:uid="{00000000-0005-0000-0000-00000E2C0000}"/>
    <cellStyle name="Input 7 7 4 2 2" xfId="23943" xr:uid="{00000000-0005-0000-0000-00000F2C0000}"/>
    <cellStyle name="Input 7 7 4 3" xfId="14539" xr:uid="{00000000-0005-0000-0000-0000102C0000}"/>
    <cellStyle name="Input 7 7 4 3 2" xfId="29371" xr:uid="{00000000-0005-0000-0000-0000112C0000}"/>
    <cellStyle name="Input 7 7 4 4" xfId="21568" xr:uid="{00000000-0005-0000-0000-0000122C0000}"/>
    <cellStyle name="Input 7 7 5" xfId="6323" xr:uid="{00000000-0005-0000-0000-0000132C0000}"/>
    <cellStyle name="Input 7 7 5 2" xfId="22725" xr:uid="{00000000-0005-0000-0000-0000142C0000}"/>
    <cellStyle name="Input 7 7 6" xfId="12577" xr:uid="{00000000-0005-0000-0000-0000152C0000}"/>
    <cellStyle name="Input 7 7 6 2" xfId="27409" xr:uid="{00000000-0005-0000-0000-0000162C0000}"/>
    <cellStyle name="Input 7 7 7" xfId="20404" xr:uid="{00000000-0005-0000-0000-0000172C0000}"/>
    <cellStyle name="Input 7 8" xfId="3692" xr:uid="{00000000-0005-0000-0000-0000182C0000}"/>
    <cellStyle name="Input 7 8 2" xfId="7748" xr:uid="{00000000-0005-0000-0000-0000192C0000}"/>
    <cellStyle name="Input 7 8 2 2" xfId="23635" xr:uid="{00000000-0005-0000-0000-00001A2C0000}"/>
    <cellStyle name="Input 7 8 3" xfId="14027" xr:uid="{00000000-0005-0000-0000-00001B2C0000}"/>
    <cellStyle name="Input 7 8 3 2" xfId="28859" xr:uid="{00000000-0005-0000-0000-00001C2C0000}"/>
    <cellStyle name="Input 7 8 4" xfId="21296" xr:uid="{00000000-0005-0000-0000-00001D2C0000}"/>
    <cellStyle name="Input 7 9" xfId="3596" xr:uid="{00000000-0005-0000-0000-00001E2C0000}"/>
    <cellStyle name="Input 7 9 2" xfId="7658" xr:uid="{00000000-0005-0000-0000-00001F2C0000}"/>
    <cellStyle name="Input 7 9 2 2" xfId="23573" xr:uid="{00000000-0005-0000-0000-0000202C0000}"/>
    <cellStyle name="Input 7 9 3" xfId="13932" xr:uid="{00000000-0005-0000-0000-0000212C0000}"/>
    <cellStyle name="Input 7 9 3 2" xfId="28764" xr:uid="{00000000-0005-0000-0000-0000222C0000}"/>
    <cellStyle name="Input 7 9 4" xfId="21242" xr:uid="{00000000-0005-0000-0000-0000232C0000}"/>
    <cellStyle name="Input 8" xfId="1125" xr:uid="{00000000-0005-0000-0000-0000242C0000}"/>
    <cellStyle name="Input 8 10" xfId="2296" xr:uid="{00000000-0005-0000-0000-0000252C0000}"/>
    <cellStyle name="Input 8 10 2" xfId="6408" xr:uid="{00000000-0005-0000-0000-0000262C0000}"/>
    <cellStyle name="Input 8 10 2 2" xfId="22810" xr:uid="{00000000-0005-0000-0000-0000272C0000}"/>
    <cellStyle name="Input 8 10 3" xfId="12636" xr:uid="{00000000-0005-0000-0000-0000282C0000}"/>
    <cellStyle name="Input 8 10 3 2" xfId="27468" xr:uid="{00000000-0005-0000-0000-0000292C0000}"/>
    <cellStyle name="Input 8 10 4" xfId="20462" xr:uid="{00000000-0005-0000-0000-00002A2C0000}"/>
    <cellStyle name="Input 8 11" xfId="5262" xr:uid="{00000000-0005-0000-0000-00002B2C0000}"/>
    <cellStyle name="Input 8 11 2" xfId="15578" xr:uid="{00000000-0005-0000-0000-00002C2C0000}"/>
    <cellStyle name="Input 8 11 2 2" xfId="30410" xr:uid="{00000000-0005-0000-0000-00002D2C0000}"/>
    <cellStyle name="Input 8 11 3" xfId="22119" xr:uid="{00000000-0005-0000-0000-00002E2C0000}"/>
    <cellStyle name="Input 8 12" xfId="5420" xr:uid="{00000000-0005-0000-0000-00002F2C0000}"/>
    <cellStyle name="Input 8 12 2" xfId="15656" xr:uid="{00000000-0005-0000-0000-0000302C0000}"/>
    <cellStyle name="Input 8 12 2 2" xfId="30488" xr:uid="{00000000-0005-0000-0000-0000312C0000}"/>
    <cellStyle name="Input 8 12 3" xfId="22181" xr:uid="{00000000-0005-0000-0000-0000322C0000}"/>
    <cellStyle name="Input 8 13" xfId="9371" xr:uid="{00000000-0005-0000-0000-0000332C0000}"/>
    <cellStyle name="Input 8 13 2" xfId="24677" xr:uid="{00000000-0005-0000-0000-0000342C0000}"/>
    <cellStyle name="Input 8 14" xfId="5360" xr:uid="{00000000-0005-0000-0000-0000352C0000}"/>
    <cellStyle name="Input 8 14 2" xfId="18234" xr:uid="{00000000-0005-0000-0000-0000362C0000}"/>
    <cellStyle name="Input 8 2" xfId="1332" xr:uid="{00000000-0005-0000-0000-0000372C0000}"/>
    <cellStyle name="Input 8 2 2" xfId="1836" xr:uid="{00000000-0005-0000-0000-0000382C0000}"/>
    <cellStyle name="Input 8 2 2 2" xfId="3722" xr:uid="{00000000-0005-0000-0000-0000392C0000}"/>
    <cellStyle name="Input 8 2 2 2 2" xfId="7778" xr:uid="{00000000-0005-0000-0000-00003A2C0000}"/>
    <cellStyle name="Input 8 2 2 2 2 2" xfId="23658" xr:uid="{00000000-0005-0000-0000-00003B2C0000}"/>
    <cellStyle name="Input 8 2 2 2 3" xfId="14057" xr:uid="{00000000-0005-0000-0000-00003C2C0000}"/>
    <cellStyle name="Input 8 2 2 2 3 2" xfId="28889" xr:uid="{00000000-0005-0000-0000-00003D2C0000}"/>
    <cellStyle name="Input 8 2 2 2 4" xfId="21318" xr:uid="{00000000-0005-0000-0000-00003E2C0000}"/>
    <cellStyle name="Input 8 2 2 3" xfId="4814" xr:uid="{00000000-0005-0000-0000-00003F2C0000}"/>
    <cellStyle name="Input 8 2 2 3 2" xfId="8853" xr:uid="{00000000-0005-0000-0000-0000402C0000}"/>
    <cellStyle name="Input 8 2 2 3 2 2" xfId="24351" xr:uid="{00000000-0005-0000-0000-0000412C0000}"/>
    <cellStyle name="Input 8 2 2 3 3" xfId="15138" xr:uid="{00000000-0005-0000-0000-0000422C0000}"/>
    <cellStyle name="Input 8 2 2 3 3 2" xfId="29970" xr:uid="{00000000-0005-0000-0000-0000432C0000}"/>
    <cellStyle name="Input 8 2 2 3 4" xfId="21889" xr:uid="{00000000-0005-0000-0000-0000442C0000}"/>
    <cellStyle name="Input 8 2 2 4" xfId="2804" xr:uid="{00000000-0005-0000-0000-0000452C0000}"/>
    <cellStyle name="Input 8 2 2 4 2" xfId="6895" xr:uid="{00000000-0005-0000-0000-0000462C0000}"/>
    <cellStyle name="Input 8 2 2 4 2 2" xfId="23102" xr:uid="{00000000-0005-0000-0000-0000472C0000}"/>
    <cellStyle name="Input 8 2 2 4 3" xfId="13142" xr:uid="{00000000-0005-0000-0000-0000482C0000}"/>
    <cellStyle name="Input 8 2 2 4 3 2" xfId="27974" xr:uid="{00000000-0005-0000-0000-0000492C0000}"/>
    <cellStyle name="Input 8 2 2 4 4" xfId="20762" xr:uid="{00000000-0005-0000-0000-00004A2C0000}"/>
    <cellStyle name="Input 8 2 2 5" xfId="5968" xr:uid="{00000000-0005-0000-0000-00004B2C0000}"/>
    <cellStyle name="Input 8 2 2 5 2" xfId="16160" xr:uid="{00000000-0005-0000-0000-00004C2C0000}"/>
    <cellStyle name="Input 8 2 2 5 2 2" xfId="30992" xr:uid="{00000000-0005-0000-0000-00004D2C0000}"/>
    <cellStyle name="Input 8 2 2 5 3" xfId="22533" xr:uid="{00000000-0005-0000-0000-00004E2C0000}"/>
    <cellStyle name="Input 8 2 2 6" xfId="12230" xr:uid="{00000000-0005-0000-0000-00004F2C0000}"/>
    <cellStyle name="Input 8 2 2 6 2" xfId="27062" xr:uid="{00000000-0005-0000-0000-0000502C0000}"/>
    <cellStyle name="Input 8 2 2 7" xfId="9826" xr:uid="{00000000-0005-0000-0000-0000512C0000}"/>
    <cellStyle name="Input 8 2 2 7 2" xfId="20077" xr:uid="{00000000-0005-0000-0000-0000522C0000}"/>
    <cellStyle name="Input 8 2 3" xfId="3863" xr:uid="{00000000-0005-0000-0000-0000532C0000}"/>
    <cellStyle name="Input 8 2 3 2" xfId="7915" xr:uid="{00000000-0005-0000-0000-0000542C0000}"/>
    <cellStyle name="Input 8 2 3 2 2" xfId="23748" xr:uid="{00000000-0005-0000-0000-0000552C0000}"/>
    <cellStyle name="Input 8 2 3 3" xfId="14198" xr:uid="{00000000-0005-0000-0000-0000562C0000}"/>
    <cellStyle name="Input 8 2 3 3 2" xfId="29030" xr:uid="{00000000-0005-0000-0000-0000572C0000}"/>
    <cellStyle name="Input 8 2 3 4" xfId="21390" xr:uid="{00000000-0005-0000-0000-0000582C0000}"/>
    <cellStyle name="Input 8 2 4" xfId="4394" xr:uid="{00000000-0005-0000-0000-0000592C0000}"/>
    <cellStyle name="Input 8 2 4 2" xfId="8433" xr:uid="{00000000-0005-0000-0000-00005A2C0000}"/>
    <cellStyle name="Input 8 2 4 2 2" xfId="24091" xr:uid="{00000000-0005-0000-0000-00005B2C0000}"/>
    <cellStyle name="Input 8 2 4 3" xfId="14723" xr:uid="{00000000-0005-0000-0000-00005C2C0000}"/>
    <cellStyle name="Input 8 2 4 3 2" xfId="29555" xr:uid="{00000000-0005-0000-0000-00005D2C0000}"/>
    <cellStyle name="Input 8 2 4 4" xfId="21659" xr:uid="{00000000-0005-0000-0000-00005E2C0000}"/>
    <cellStyle name="Input 8 2 5" xfId="2384" xr:uid="{00000000-0005-0000-0000-00005F2C0000}"/>
    <cellStyle name="Input 8 2 5 2" xfId="6496" xr:uid="{00000000-0005-0000-0000-0000602C0000}"/>
    <cellStyle name="Input 8 2 5 2 2" xfId="22866" xr:uid="{00000000-0005-0000-0000-0000612C0000}"/>
    <cellStyle name="Input 8 2 5 3" xfId="12723" xr:uid="{00000000-0005-0000-0000-0000622C0000}"/>
    <cellStyle name="Input 8 2 5 3 2" xfId="27555" xr:uid="{00000000-0005-0000-0000-0000632C0000}"/>
    <cellStyle name="Input 8 2 5 4" xfId="20508" xr:uid="{00000000-0005-0000-0000-0000642C0000}"/>
    <cellStyle name="Input 8 2 6" xfId="5509" xr:uid="{00000000-0005-0000-0000-0000652C0000}"/>
    <cellStyle name="Input 8 2 6 2" xfId="15744" xr:uid="{00000000-0005-0000-0000-0000662C0000}"/>
    <cellStyle name="Input 8 2 6 2 2" xfId="30576" xr:uid="{00000000-0005-0000-0000-0000672C0000}"/>
    <cellStyle name="Input 8 2 6 3" xfId="22237" xr:uid="{00000000-0005-0000-0000-0000682C0000}"/>
    <cellStyle name="Input 8 2 7" xfId="11759" xr:uid="{00000000-0005-0000-0000-0000692C0000}"/>
    <cellStyle name="Input 8 2 7 2" xfId="26591" xr:uid="{00000000-0005-0000-0000-00006A2C0000}"/>
    <cellStyle name="Input 8 2 8" xfId="9430" xr:uid="{00000000-0005-0000-0000-00006B2C0000}"/>
    <cellStyle name="Input 8 2 8 2" xfId="19734" xr:uid="{00000000-0005-0000-0000-00006C2C0000}"/>
    <cellStyle name="Input 8 3" xfId="1490" xr:uid="{00000000-0005-0000-0000-00006D2C0000}"/>
    <cellStyle name="Input 8 3 2" xfId="1991" xr:uid="{00000000-0005-0000-0000-00006E2C0000}"/>
    <cellStyle name="Input 8 3 2 2" xfId="3670" xr:uid="{00000000-0005-0000-0000-00006F2C0000}"/>
    <cellStyle name="Input 8 3 2 2 2" xfId="7728" xr:uid="{00000000-0005-0000-0000-0000702C0000}"/>
    <cellStyle name="Input 8 3 2 2 2 2" xfId="23624" xr:uid="{00000000-0005-0000-0000-0000712C0000}"/>
    <cellStyle name="Input 8 3 2 2 3" xfId="14005" xr:uid="{00000000-0005-0000-0000-0000722C0000}"/>
    <cellStyle name="Input 8 3 2 2 3 2" xfId="28837" xr:uid="{00000000-0005-0000-0000-0000732C0000}"/>
    <cellStyle name="Input 8 3 2 2 4" xfId="21284" xr:uid="{00000000-0005-0000-0000-0000742C0000}"/>
    <cellStyle name="Input 8 3 2 3" xfId="4955" xr:uid="{00000000-0005-0000-0000-0000752C0000}"/>
    <cellStyle name="Input 8 3 2 3 2" xfId="8994" xr:uid="{00000000-0005-0000-0000-0000762C0000}"/>
    <cellStyle name="Input 8 3 2 3 2 2" xfId="24460" xr:uid="{00000000-0005-0000-0000-0000772C0000}"/>
    <cellStyle name="Input 8 3 2 3 3" xfId="15277" xr:uid="{00000000-0005-0000-0000-0000782C0000}"/>
    <cellStyle name="Input 8 3 2 3 3 2" xfId="30109" xr:uid="{00000000-0005-0000-0000-0000792C0000}"/>
    <cellStyle name="Input 8 3 2 3 4" xfId="21990" xr:uid="{00000000-0005-0000-0000-00007A2C0000}"/>
    <cellStyle name="Input 8 3 2 4" xfId="2945" xr:uid="{00000000-0005-0000-0000-00007B2C0000}"/>
    <cellStyle name="Input 8 3 2 4 2" xfId="7029" xr:uid="{00000000-0005-0000-0000-00007C2C0000}"/>
    <cellStyle name="Input 8 3 2 4 2 2" xfId="23203" xr:uid="{00000000-0005-0000-0000-00007D2C0000}"/>
    <cellStyle name="Input 8 3 2 4 3" xfId="13283" xr:uid="{00000000-0005-0000-0000-00007E2C0000}"/>
    <cellStyle name="Input 8 3 2 4 3 2" xfId="28115" xr:uid="{00000000-0005-0000-0000-00007F2C0000}"/>
    <cellStyle name="Input 8 3 2 4 4" xfId="20871" xr:uid="{00000000-0005-0000-0000-0000802C0000}"/>
    <cellStyle name="Input 8 3 2 5" xfId="6121" xr:uid="{00000000-0005-0000-0000-0000812C0000}"/>
    <cellStyle name="Input 8 3 2 5 2" xfId="16308" xr:uid="{00000000-0005-0000-0000-0000822C0000}"/>
    <cellStyle name="Input 8 3 2 5 2 2" xfId="31140" xr:uid="{00000000-0005-0000-0000-0000832C0000}"/>
    <cellStyle name="Input 8 3 2 5 3" xfId="22654" xr:uid="{00000000-0005-0000-0000-0000842C0000}"/>
    <cellStyle name="Input 8 3 2 6" xfId="12378" xr:uid="{00000000-0005-0000-0000-0000852C0000}"/>
    <cellStyle name="Input 8 3 2 6 2" xfId="27210" xr:uid="{00000000-0005-0000-0000-0000862C0000}"/>
    <cellStyle name="Input 8 3 2 7" xfId="9960" xr:uid="{00000000-0005-0000-0000-0000872C0000}"/>
    <cellStyle name="Input 8 3 2 7 2" xfId="20162" xr:uid="{00000000-0005-0000-0000-0000882C0000}"/>
    <cellStyle name="Input 8 3 3" xfId="3199" xr:uid="{00000000-0005-0000-0000-0000892C0000}"/>
    <cellStyle name="Input 8 3 3 2" xfId="7263" xr:uid="{00000000-0005-0000-0000-00008A2C0000}"/>
    <cellStyle name="Input 8 3 3 2 2" xfId="23314" xr:uid="{00000000-0005-0000-0000-00008B2C0000}"/>
    <cellStyle name="Input 8 3 3 3" xfId="13537" xr:uid="{00000000-0005-0000-0000-00008C2C0000}"/>
    <cellStyle name="Input 8 3 3 3 2" xfId="28369" xr:uid="{00000000-0005-0000-0000-00008D2C0000}"/>
    <cellStyle name="Input 8 3 3 4" xfId="21004" xr:uid="{00000000-0005-0000-0000-00008E2C0000}"/>
    <cellStyle name="Input 8 3 4" xfId="4535" xr:uid="{00000000-0005-0000-0000-00008F2C0000}"/>
    <cellStyle name="Input 8 3 4 2" xfId="8574" xr:uid="{00000000-0005-0000-0000-0000902C0000}"/>
    <cellStyle name="Input 8 3 4 2 2" xfId="24200" xr:uid="{00000000-0005-0000-0000-0000912C0000}"/>
    <cellStyle name="Input 8 3 4 3" xfId="14862" xr:uid="{00000000-0005-0000-0000-0000922C0000}"/>
    <cellStyle name="Input 8 3 4 3 2" xfId="29694" xr:uid="{00000000-0005-0000-0000-0000932C0000}"/>
    <cellStyle name="Input 8 3 4 4" xfId="21760" xr:uid="{00000000-0005-0000-0000-0000942C0000}"/>
    <cellStyle name="Input 8 3 5" xfId="2525" xr:uid="{00000000-0005-0000-0000-0000952C0000}"/>
    <cellStyle name="Input 8 3 5 2" xfId="6631" xr:uid="{00000000-0005-0000-0000-0000962C0000}"/>
    <cellStyle name="Input 8 3 5 2 2" xfId="22969" xr:uid="{00000000-0005-0000-0000-0000972C0000}"/>
    <cellStyle name="Input 8 3 5 3" xfId="12863" xr:uid="{00000000-0005-0000-0000-0000982C0000}"/>
    <cellStyle name="Input 8 3 5 3 2" xfId="27695" xr:uid="{00000000-0005-0000-0000-0000992C0000}"/>
    <cellStyle name="Input 8 3 5 4" xfId="20615" xr:uid="{00000000-0005-0000-0000-00009A2C0000}"/>
    <cellStyle name="Input 8 3 6" xfId="5648" xr:uid="{00000000-0005-0000-0000-00009B2C0000}"/>
    <cellStyle name="Input 8 3 6 2" xfId="15883" xr:uid="{00000000-0005-0000-0000-00009C2C0000}"/>
    <cellStyle name="Input 8 3 6 2 2" xfId="30715" xr:uid="{00000000-0005-0000-0000-00009D2C0000}"/>
    <cellStyle name="Input 8 3 6 3" xfId="22344" xr:uid="{00000000-0005-0000-0000-00009E2C0000}"/>
    <cellStyle name="Input 8 3 7" xfId="11907" xr:uid="{00000000-0005-0000-0000-00009F2C0000}"/>
    <cellStyle name="Input 8 3 7 2" xfId="26739" xr:uid="{00000000-0005-0000-0000-0000A02C0000}"/>
    <cellStyle name="Input 8 3 8" xfId="9565" xr:uid="{00000000-0005-0000-0000-0000A12C0000}"/>
    <cellStyle name="Input 8 3 8 2" xfId="19867" xr:uid="{00000000-0005-0000-0000-0000A22C0000}"/>
    <cellStyle name="Input 8 4" xfId="1393" xr:uid="{00000000-0005-0000-0000-0000A32C0000}"/>
    <cellStyle name="Input 8 4 2" xfId="1895" xr:uid="{00000000-0005-0000-0000-0000A42C0000}"/>
    <cellStyle name="Input 8 4 2 2" xfId="3135" xr:uid="{00000000-0005-0000-0000-0000A52C0000}"/>
    <cellStyle name="Input 8 4 2 2 2" xfId="7199" xr:uid="{00000000-0005-0000-0000-0000A62C0000}"/>
    <cellStyle name="Input 8 4 2 2 2 2" xfId="23271" xr:uid="{00000000-0005-0000-0000-0000A72C0000}"/>
    <cellStyle name="Input 8 4 2 2 3" xfId="13473" xr:uid="{00000000-0005-0000-0000-0000A82C0000}"/>
    <cellStyle name="Input 8 4 2 2 3 2" xfId="28305" xr:uid="{00000000-0005-0000-0000-0000A92C0000}"/>
    <cellStyle name="Input 8 4 2 2 4" xfId="20962" xr:uid="{00000000-0005-0000-0000-0000AA2C0000}"/>
    <cellStyle name="Input 8 4 2 3" xfId="4873" xr:uid="{00000000-0005-0000-0000-0000AB2C0000}"/>
    <cellStyle name="Input 8 4 2 3 2" xfId="8912" xr:uid="{00000000-0005-0000-0000-0000AC2C0000}"/>
    <cellStyle name="Input 8 4 2 3 2 2" xfId="24378" xr:uid="{00000000-0005-0000-0000-0000AD2C0000}"/>
    <cellStyle name="Input 8 4 2 3 3" xfId="15196" xr:uid="{00000000-0005-0000-0000-0000AE2C0000}"/>
    <cellStyle name="Input 8 4 2 3 3 2" xfId="30028" xr:uid="{00000000-0005-0000-0000-0000AF2C0000}"/>
    <cellStyle name="Input 8 4 2 3 4" xfId="21910" xr:uid="{00000000-0005-0000-0000-0000B02C0000}"/>
    <cellStyle name="Input 8 4 2 4" xfId="2863" xr:uid="{00000000-0005-0000-0000-0000B12C0000}"/>
    <cellStyle name="Input 8 4 2 4 2" xfId="6948" xr:uid="{00000000-0005-0000-0000-0000B22C0000}"/>
    <cellStyle name="Input 8 4 2 4 2 2" xfId="23123" xr:uid="{00000000-0005-0000-0000-0000B32C0000}"/>
    <cellStyle name="Input 8 4 2 4 3" xfId="13201" xr:uid="{00000000-0005-0000-0000-0000B42C0000}"/>
    <cellStyle name="Input 8 4 2 4 3 2" xfId="28033" xr:uid="{00000000-0005-0000-0000-0000B52C0000}"/>
    <cellStyle name="Input 8 4 2 4 4" xfId="20789" xr:uid="{00000000-0005-0000-0000-0000B62C0000}"/>
    <cellStyle name="Input 8 4 2 5" xfId="6026" xr:uid="{00000000-0005-0000-0000-0000B72C0000}"/>
    <cellStyle name="Input 8 4 2 5 2" xfId="16213" xr:uid="{00000000-0005-0000-0000-0000B82C0000}"/>
    <cellStyle name="Input 8 4 2 5 2 2" xfId="31045" xr:uid="{00000000-0005-0000-0000-0000B92C0000}"/>
    <cellStyle name="Input 8 4 2 5 3" xfId="22559" xr:uid="{00000000-0005-0000-0000-0000BA2C0000}"/>
    <cellStyle name="Input 8 4 2 6" xfId="12283" xr:uid="{00000000-0005-0000-0000-0000BB2C0000}"/>
    <cellStyle name="Input 8 4 2 6 2" xfId="27115" xr:uid="{00000000-0005-0000-0000-0000BC2C0000}"/>
    <cellStyle name="Input 8 4 2 7" xfId="9879" xr:uid="{00000000-0005-0000-0000-0000BD2C0000}"/>
    <cellStyle name="Input 8 4 2 7 2" xfId="20083" xr:uid="{00000000-0005-0000-0000-0000BE2C0000}"/>
    <cellStyle name="Input 8 4 3" xfId="3682" xr:uid="{00000000-0005-0000-0000-0000BF2C0000}"/>
    <cellStyle name="Input 8 4 3 2" xfId="7740" xr:uid="{00000000-0005-0000-0000-0000C02C0000}"/>
    <cellStyle name="Input 8 4 3 2 2" xfId="23630" xr:uid="{00000000-0005-0000-0000-0000C12C0000}"/>
    <cellStyle name="Input 8 4 3 3" xfId="14017" xr:uid="{00000000-0005-0000-0000-0000C22C0000}"/>
    <cellStyle name="Input 8 4 3 3 2" xfId="28849" xr:uid="{00000000-0005-0000-0000-0000C32C0000}"/>
    <cellStyle name="Input 8 4 3 4" xfId="21290" xr:uid="{00000000-0005-0000-0000-0000C42C0000}"/>
    <cellStyle name="Input 8 4 4" xfId="4453" xr:uid="{00000000-0005-0000-0000-0000C52C0000}"/>
    <cellStyle name="Input 8 4 4 2" xfId="8492" xr:uid="{00000000-0005-0000-0000-0000C62C0000}"/>
    <cellStyle name="Input 8 4 4 2 2" xfId="24118" xr:uid="{00000000-0005-0000-0000-0000C72C0000}"/>
    <cellStyle name="Input 8 4 4 3" xfId="14781" xr:uid="{00000000-0005-0000-0000-0000C82C0000}"/>
    <cellStyle name="Input 8 4 4 3 2" xfId="29613" xr:uid="{00000000-0005-0000-0000-0000C92C0000}"/>
    <cellStyle name="Input 8 4 4 4" xfId="21680" xr:uid="{00000000-0005-0000-0000-0000CA2C0000}"/>
    <cellStyle name="Input 8 4 5" xfId="2443" xr:uid="{00000000-0005-0000-0000-0000CB2C0000}"/>
    <cellStyle name="Input 8 4 5 2" xfId="6549" xr:uid="{00000000-0005-0000-0000-0000CC2C0000}"/>
    <cellStyle name="Input 8 4 5 2 2" xfId="22887" xr:uid="{00000000-0005-0000-0000-0000CD2C0000}"/>
    <cellStyle name="Input 8 4 5 3" xfId="12782" xr:uid="{00000000-0005-0000-0000-0000CE2C0000}"/>
    <cellStyle name="Input 8 4 5 3 2" xfId="27614" xr:uid="{00000000-0005-0000-0000-0000CF2C0000}"/>
    <cellStyle name="Input 8 4 5 4" xfId="20535" xr:uid="{00000000-0005-0000-0000-0000D02C0000}"/>
    <cellStyle name="Input 8 4 6" xfId="5567" xr:uid="{00000000-0005-0000-0000-0000D12C0000}"/>
    <cellStyle name="Input 8 4 6 2" xfId="15802" xr:uid="{00000000-0005-0000-0000-0000D22C0000}"/>
    <cellStyle name="Input 8 4 6 2 2" xfId="30634" xr:uid="{00000000-0005-0000-0000-0000D32C0000}"/>
    <cellStyle name="Input 8 4 6 3" xfId="22263" xr:uid="{00000000-0005-0000-0000-0000D42C0000}"/>
    <cellStyle name="Input 8 4 7" xfId="11812" xr:uid="{00000000-0005-0000-0000-0000D52C0000}"/>
    <cellStyle name="Input 8 4 7 2" xfId="26644" xr:uid="{00000000-0005-0000-0000-0000D62C0000}"/>
    <cellStyle name="Input 8 4 8" xfId="9484" xr:uid="{00000000-0005-0000-0000-0000D72C0000}"/>
    <cellStyle name="Input 8 4 8 2" xfId="19787" xr:uid="{00000000-0005-0000-0000-0000D82C0000}"/>
    <cellStyle name="Input 8 5" xfId="1496" xr:uid="{00000000-0005-0000-0000-0000D92C0000}"/>
    <cellStyle name="Input 8 5 2" xfId="1997" xr:uid="{00000000-0005-0000-0000-0000DA2C0000}"/>
    <cellStyle name="Input 8 5 2 2" xfId="3594" xr:uid="{00000000-0005-0000-0000-0000DB2C0000}"/>
    <cellStyle name="Input 8 5 2 2 2" xfId="7656" xr:uid="{00000000-0005-0000-0000-0000DC2C0000}"/>
    <cellStyle name="Input 8 5 2 2 2 2" xfId="23572" xr:uid="{00000000-0005-0000-0000-0000DD2C0000}"/>
    <cellStyle name="Input 8 5 2 2 3" xfId="13930" xr:uid="{00000000-0005-0000-0000-0000DE2C0000}"/>
    <cellStyle name="Input 8 5 2 2 3 2" xfId="28762" xr:uid="{00000000-0005-0000-0000-0000DF2C0000}"/>
    <cellStyle name="Input 8 5 2 2 4" xfId="21241" xr:uid="{00000000-0005-0000-0000-0000E02C0000}"/>
    <cellStyle name="Input 8 5 2 3" xfId="4961" xr:uid="{00000000-0005-0000-0000-0000E12C0000}"/>
    <cellStyle name="Input 8 5 2 3 2" xfId="9000" xr:uid="{00000000-0005-0000-0000-0000E22C0000}"/>
    <cellStyle name="Input 8 5 2 3 2 2" xfId="24466" xr:uid="{00000000-0005-0000-0000-0000E32C0000}"/>
    <cellStyle name="Input 8 5 2 3 3" xfId="15283" xr:uid="{00000000-0005-0000-0000-0000E42C0000}"/>
    <cellStyle name="Input 8 5 2 3 3 2" xfId="30115" xr:uid="{00000000-0005-0000-0000-0000E52C0000}"/>
    <cellStyle name="Input 8 5 2 3 4" xfId="21996" xr:uid="{00000000-0005-0000-0000-0000E62C0000}"/>
    <cellStyle name="Input 8 5 2 4" xfId="2951" xr:uid="{00000000-0005-0000-0000-0000E72C0000}"/>
    <cellStyle name="Input 8 5 2 4 2" xfId="7035" xr:uid="{00000000-0005-0000-0000-0000E82C0000}"/>
    <cellStyle name="Input 8 5 2 4 2 2" xfId="23209" xr:uid="{00000000-0005-0000-0000-0000E92C0000}"/>
    <cellStyle name="Input 8 5 2 4 3" xfId="13289" xr:uid="{00000000-0005-0000-0000-0000EA2C0000}"/>
    <cellStyle name="Input 8 5 2 4 3 2" xfId="28121" xr:uid="{00000000-0005-0000-0000-0000EB2C0000}"/>
    <cellStyle name="Input 8 5 2 4 4" xfId="20877" xr:uid="{00000000-0005-0000-0000-0000EC2C0000}"/>
    <cellStyle name="Input 8 5 2 5" xfId="6127" xr:uid="{00000000-0005-0000-0000-0000ED2C0000}"/>
    <cellStyle name="Input 8 5 2 5 2" xfId="16314" xr:uid="{00000000-0005-0000-0000-0000EE2C0000}"/>
    <cellStyle name="Input 8 5 2 5 2 2" xfId="31146" xr:uid="{00000000-0005-0000-0000-0000EF2C0000}"/>
    <cellStyle name="Input 8 5 2 5 3" xfId="22660" xr:uid="{00000000-0005-0000-0000-0000F02C0000}"/>
    <cellStyle name="Input 8 5 2 6" xfId="12384" xr:uid="{00000000-0005-0000-0000-0000F12C0000}"/>
    <cellStyle name="Input 8 5 2 6 2" xfId="27216" xr:uid="{00000000-0005-0000-0000-0000F22C0000}"/>
    <cellStyle name="Input 8 5 2 7" xfId="9966" xr:uid="{00000000-0005-0000-0000-0000F32C0000}"/>
    <cellStyle name="Input 8 5 2 7 2" xfId="20168" xr:uid="{00000000-0005-0000-0000-0000F42C0000}"/>
    <cellStyle name="Input 8 5 3" xfId="3280" xr:uid="{00000000-0005-0000-0000-0000F52C0000}"/>
    <cellStyle name="Input 8 5 3 2" xfId="7344" xr:uid="{00000000-0005-0000-0000-0000F62C0000}"/>
    <cellStyle name="Input 8 5 3 2 2" xfId="23373" xr:uid="{00000000-0005-0000-0000-0000F72C0000}"/>
    <cellStyle name="Input 8 5 3 3" xfId="13617" xr:uid="{00000000-0005-0000-0000-0000F82C0000}"/>
    <cellStyle name="Input 8 5 3 3 2" xfId="28449" xr:uid="{00000000-0005-0000-0000-0000F92C0000}"/>
    <cellStyle name="Input 8 5 3 4" xfId="21060" xr:uid="{00000000-0005-0000-0000-0000FA2C0000}"/>
    <cellStyle name="Input 8 5 4" xfId="4541" xr:uid="{00000000-0005-0000-0000-0000FB2C0000}"/>
    <cellStyle name="Input 8 5 4 2" xfId="8580" xr:uid="{00000000-0005-0000-0000-0000FC2C0000}"/>
    <cellStyle name="Input 8 5 4 2 2" xfId="24206" xr:uid="{00000000-0005-0000-0000-0000FD2C0000}"/>
    <cellStyle name="Input 8 5 4 3" xfId="14868" xr:uid="{00000000-0005-0000-0000-0000FE2C0000}"/>
    <cellStyle name="Input 8 5 4 3 2" xfId="29700" xr:uid="{00000000-0005-0000-0000-0000FF2C0000}"/>
    <cellStyle name="Input 8 5 4 4" xfId="21766" xr:uid="{00000000-0005-0000-0000-0000002D0000}"/>
    <cellStyle name="Input 8 5 5" xfId="2531" xr:uid="{00000000-0005-0000-0000-0000012D0000}"/>
    <cellStyle name="Input 8 5 5 2" xfId="6637" xr:uid="{00000000-0005-0000-0000-0000022D0000}"/>
    <cellStyle name="Input 8 5 5 2 2" xfId="22975" xr:uid="{00000000-0005-0000-0000-0000032D0000}"/>
    <cellStyle name="Input 8 5 5 3" xfId="12869" xr:uid="{00000000-0005-0000-0000-0000042D0000}"/>
    <cellStyle name="Input 8 5 5 3 2" xfId="27701" xr:uid="{00000000-0005-0000-0000-0000052D0000}"/>
    <cellStyle name="Input 8 5 5 4" xfId="20621" xr:uid="{00000000-0005-0000-0000-0000062D0000}"/>
    <cellStyle name="Input 8 5 6" xfId="5654" xr:uid="{00000000-0005-0000-0000-0000072D0000}"/>
    <cellStyle name="Input 8 5 6 2" xfId="15889" xr:uid="{00000000-0005-0000-0000-0000082D0000}"/>
    <cellStyle name="Input 8 5 6 2 2" xfId="30721" xr:uid="{00000000-0005-0000-0000-0000092D0000}"/>
    <cellStyle name="Input 8 5 6 3" xfId="22350" xr:uid="{00000000-0005-0000-0000-00000A2D0000}"/>
    <cellStyle name="Input 8 5 7" xfId="11913" xr:uid="{00000000-0005-0000-0000-00000B2D0000}"/>
    <cellStyle name="Input 8 5 7 2" xfId="26745" xr:uid="{00000000-0005-0000-0000-00000C2D0000}"/>
    <cellStyle name="Input 8 5 8" xfId="9571" xr:uid="{00000000-0005-0000-0000-00000D2D0000}"/>
    <cellStyle name="Input 8 5 8 2" xfId="19873" xr:uid="{00000000-0005-0000-0000-00000E2D0000}"/>
    <cellStyle name="Input 8 6" xfId="1758" xr:uid="{00000000-0005-0000-0000-00000F2D0000}"/>
    <cellStyle name="Input 8 6 2" xfId="3835" xr:uid="{00000000-0005-0000-0000-0000102D0000}"/>
    <cellStyle name="Input 8 6 2 2" xfId="7888" xr:uid="{00000000-0005-0000-0000-0000112D0000}"/>
    <cellStyle name="Input 8 6 2 2 2" xfId="23728" xr:uid="{00000000-0005-0000-0000-0000122D0000}"/>
    <cellStyle name="Input 8 6 2 3" xfId="14170" xr:uid="{00000000-0005-0000-0000-0000132D0000}"/>
    <cellStyle name="Input 8 6 2 3 2" xfId="29002" xr:uid="{00000000-0005-0000-0000-0000142D0000}"/>
    <cellStyle name="Input 8 6 2 4" xfId="21376" xr:uid="{00000000-0005-0000-0000-0000152D0000}"/>
    <cellStyle name="Input 8 6 3" xfId="4736" xr:uid="{00000000-0005-0000-0000-0000162D0000}"/>
    <cellStyle name="Input 8 6 3 2" xfId="8775" xr:uid="{00000000-0005-0000-0000-0000172D0000}"/>
    <cellStyle name="Input 8 6 3 2 2" xfId="24305" xr:uid="{00000000-0005-0000-0000-0000182D0000}"/>
    <cellStyle name="Input 8 6 3 3" xfId="15060" xr:uid="{00000000-0005-0000-0000-0000192D0000}"/>
    <cellStyle name="Input 8 6 3 3 2" xfId="29892" xr:uid="{00000000-0005-0000-0000-00001A2D0000}"/>
    <cellStyle name="Input 8 6 3 4" xfId="21843" xr:uid="{00000000-0005-0000-0000-00001B2D0000}"/>
    <cellStyle name="Input 8 6 4" xfId="2726" xr:uid="{00000000-0005-0000-0000-00001C2D0000}"/>
    <cellStyle name="Input 8 6 4 2" xfId="6817" xr:uid="{00000000-0005-0000-0000-00001D2D0000}"/>
    <cellStyle name="Input 8 6 4 2 2" xfId="23056" xr:uid="{00000000-0005-0000-0000-00001E2D0000}"/>
    <cellStyle name="Input 8 6 4 3" xfId="13064" xr:uid="{00000000-0005-0000-0000-00001F2D0000}"/>
    <cellStyle name="Input 8 6 4 3 2" xfId="27896" xr:uid="{00000000-0005-0000-0000-0000202D0000}"/>
    <cellStyle name="Input 8 6 4 4" xfId="20716" xr:uid="{00000000-0005-0000-0000-0000212D0000}"/>
    <cellStyle name="Input 8 6 5" xfId="5890" xr:uid="{00000000-0005-0000-0000-0000222D0000}"/>
    <cellStyle name="Input 8 6 5 2" xfId="16082" xr:uid="{00000000-0005-0000-0000-0000232D0000}"/>
    <cellStyle name="Input 8 6 5 2 2" xfId="30914" xr:uid="{00000000-0005-0000-0000-0000242D0000}"/>
    <cellStyle name="Input 8 6 5 3" xfId="22487" xr:uid="{00000000-0005-0000-0000-0000252D0000}"/>
    <cellStyle name="Input 8 6 6" xfId="12152" xr:uid="{00000000-0005-0000-0000-0000262D0000}"/>
    <cellStyle name="Input 8 6 6 2" xfId="26984" xr:uid="{00000000-0005-0000-0000-0000272D0000}"/>
    <cellStyle name="Input 8 6 7" xfId="9748" xr:uid="{00000000-0005-0000-0000-0000282D0000}"/>
    <cellStyle name="Input 8 6 7 2" xfId="20046" xr:uid="{00000000-0005-0000-0000-0000292D0000}"/>
    <cellStyle name="Input 8 7" xfId="2208" xr:uid="{00000000-0005-0000-0000-00002A2D0000}"/>
    <cellStyle name="Input 8 7 2" xfId="3961" xr:uid="{00000000-0005-0000-0000-00002B2D0000}"/>
    <cellStyle name="Input 8 7 2 2" xfId="8011" xr:uid="{00000000-0005-0000-0000-00002C2D0000}"/>
    <cellStyle name="Input 8 7 2 2 2" xfId="23805" xr:uid="{00000000-0005-0000-0000-00002D2D0000}"/>
    <cellStyle name="Input 8 7 2 3" xfId="14294" xr:uid="{00000000-0005-0000-0000-00002E2D0000}"/>
    <cellStyle name="Input 8 7 2 3 2" xfId="29126" xr:uid="{00000000-0005-0000-0000-00002F2D0000}"/>
    <cellStyle name="Input 8 7 2 4" xfId="21447" xr:uid="{00000000-0005-0000-0000-0000302D0000}"/>
    <cellStyle name="Input 8 7 3" xfId="5176" xr:uid="{00000000-0005-0000-0000-0000312D0000}"/>
    <cellStyle name="Input 8 7 3 2" xfId="9215" xr:uid="{00000000-0005-0000-0000-0000322D0000}"/>
    <cellStyle name="Input 8 7 3 2 2" xfId="24553" xr:uid="{00000000-0005-0000-0000-0000332D0000}"/>
    <cellStyle name="Input 8 7 3 3" xfId="15494" xr:uid="{00000000-0005-0000-0000-0000342D0000}"/>
    <cellStyle name="Input 8 7 3 3 2" xfId="30326" xr:uid="{00000000-0005-0000-0000-0000352D0000}"/>
    <cellStyle name="Input 8 7 3 4" xfId="22060" xr:uid="{00000000-0005-0000-0000-0000362D0000}"/>
    <cellStyle name="Input 8 7 4" xfId="4206" xr:uid="{00000000-0005-0000-0000-0000372D0000}"/>
    <cellStyle name="Input 8 7 4 2" xfId="8247" xr:uid="{00000000-0005-0000-0000-0000382D0000}"/>
    <cellStyle name="Input 8 7 4 2 2" xfId="23942" xr:uid="{00000000-0005-0000-0000-0000392D0000}"/>
    <cellStyle name="Input 8 7 4 3" xfId="14538" xr:uid="{00000000-0005-0000-0000-00003A2D0000}"/>
    <cellStyle name="Input 8 7 4 3 2" xfId="29370" xr:uid="{00000000-0005-0000-0000-00003B2D0000}"/>
    <cellStyle name="Input 8 7 4 4" xfId="21567" xr:uid="{00000000-0005-0000-0000-00003C2D0000}"/>
    <cellStyle name="Input 8 7 5" xfId="6322" xr:uid="{00000000-0005-0000-0000-00003D2D0000}"/>
    <cellStyle name="Input 8 7 5 2" xfId="22724" xr:uid="{00000000-0005-0000-0000-00003E2D0000}"/>
    <cellStyle name="Input 8 7 6" xfId="12576" xr:uid="{00000000-0005-0000-0000-00003F2D0000}"/>
    <cellStyle name="Input 8 7 6 2" xfId="27408" xr:uid="{00000000-0005-0000-0000-0000402D0000}"/>
    <cellStyle name="Input 8 7 7" xfId="20403" xr:uid="{00000000-0005-0000-0000-0000412D0000}"/>
    <cellStyle name="Input 8 8" xfId="3127" xr:uid="{00000000-0005-0000-0000-0000422D0000}"/>
    <cellStyle name="Input 8 8 2" xfId="7191" xr:uid="{00000000-0005-0000-0000-0000432D0000}"/>
    <cellStyle name="Input 8 8 2 2" xfId="23264" xr:uid="{00000000-0005-0000-0000-0000442D0000}"/>
    <cellStyle name="Input 8 8 3" xfId="13465" xr:uid="{00000000-0005-0000-0000-0000452D0000}"/>
    <cellStyle name="Input 8 8 3 2" xfId="28297" xr:uid="{00000000-0005-0000-0000-0000462D0000}"/>
    <cellStyle name="Input 8 8 4" xfId="20955" xr:uid="{00000000-0005-0000-0000-0000472D0000}"/>
    <cellStyle name="Input 8 9" xfId="3610" xr:uid="{00000000-0005-0000-0000-0000482D0000}"/>
    <cellStyle name="Input 8 9 2" xfId="7671" xr:uid="{00000000-0005-0000-0000-0000492D0000}"/>
    <cellStyle name="Input 8 9 2 2" xfId="23581" xr:uid="{00000000-0005-0000-0000-00004A2D0000}"/>
    <cellStyle name="Input 8 9 3" xfId="13946" xr:uid="{00000000-0005-0000-0000-00004B2D0000}"/>
    <cellStyle name="Input 8 9 3 2" xfId="28778" xr:uid="{00000000-0005-0000-0000-00004C2D0000}"/>
    <cellStyle name="Input 8 9 4" xfId="21250" xr:uid="{00000000-0005-0000-0000-00004D2D0000}"/>
    <cellStyle name="Input 9" xfId="1126" xr:uid="{00000000-0005-0000-0000-00004E2D0000}"/>
    <cellStyle name="Input 9 10" xfId="2297" xr:uid="{00000000-0005-0000-0000-00004F2D0000}"/>
    <cellStyle name="Input 9 10 2" xfId="6409" xr:uid="{00000000-0005-0000-0000-0000502D0000}"/>
    <cellStyle name="Input 9 10 2 2" xfId="22811" xr:uid="{00000000-0005-0000-0000-0000512D0000}"/>
    <cellStyle name="Input 9 10 3" xfId="12637" xr:uid="{00000000-0005-0000-0000-0000522D0000}"/>
    <cellStyle name="Input 9 10 3 2" xfId="27469" xr:uid="{00000000-0005-0000-0000-0000532D0000}"/>
    <cellStyle name="Input 9 10 4" xfId="20463" xr:uid="{00000000-0005-0000-0000-0000542D0000}"/>
    <cellStyle name="Input 9 11" xfId="5263" xr:uid="{00000000-0005-0000-0000-0000552D0000}"/>
    <cellStyle name="Input 9 11 2" xfId="15579" xr:uid="{00000000-0005-0000-0000-0000562D0000}"/>
    <cellStyle name="Input 9 11 2 2" xfId="30411" xr:uid="{00000000-0005-0000-0000-0000572D0000}"/>
    <cellStyle name="Input 9 11 3" xfId="22120" xr:uid="{00000000-0005-0000-0000-0000582D0000}"/>
    <cellStyle name="Input 9 12" xfId="5421" xr:uid="{00000000-0005-0000-0000-0000592D0000}"/>
    <cellStyle name="Input 9 12 2" xfId="15657" xr:uid="{00000000-0005-0000-0000-00005A2D0000}"/>
    <cellStyle name="Input 9 12 2 2" xfId="30489" xr:uid="{00000000-0005-0000-0000-00005B2D0000}"/>
    <cellStyle name="Input 9 12 3" xfId="22182" xr:uid="{00000000-0005-0000-0000-00005C2D0000}"/>
    <cellStyle name="Input 9 13" xfId="9370" xr:uid="{00000000-0005-0000-0000-00005D2D0000}"/>
    <cellStyle name="Input 9 13 2" xfId="24676" xr:uid="{00000000-0005-0000-0000-00005E2D0000}"/>
    <cellStyle name="Input 9 14" xfId="5359" xr:uid="{00000000-0005-0000-0000-00005F2D0000}"/>
    <cellStyle name="Input 9 14 2" xfId="18233" xr:uid="{00000000-0005-0000-0000-0000602D0000}"/>
    <cellStyle name="Input 9 2" xfId="1333" xr:uid="{00000000-0005-0000-0000-0000612D0000}"/>
    <cellStyle name="Input 9 2 2" xfId="1837" xr:uid="{00000000-0005-0000-0000-0000622D0000}"/>
    <cellStyle name="Input 9 2 2 2" xfId="3834" xr:uid="{00000000-0005-0000-0000-0000632D0000}"/>
    <cellStyle name="Input 9 2 2 2 2" xfId="7887" xr:uid="{00000000-0005-0000-0000-0000642D0000}"/>
    <cellStyle name="Input 9 2 2 2 2 2" xfId="23727" xr:uid="{00000000-0005-0000-0000-0000652D0000}"/>
    <cellStyle name="Input 9 2 2 2 3" xfId="14169" xr:uid="{00000000-0005-0000-0000-0000662D0000}"/>
    <cellStyle name="Input 9 2 2 2 3 2" xfId="29001" xr:uid="{00000000-0005-0000-0000-0000672D0000}"/>
    <cellStyle name="Input 9 2 2 2 4" xfId="21375" xr:uid="{00000000-0005-0000-0000-0000682D0000}"/>
    <cellStyle name="Input 9 2 2 3" xfId="4815" xr:uid="{00000000-0005-0000-0000-0000692D0000}"/>
    <cellStyle name="Input 9 2 2 3 2" xfId="8854" xr:uid="{00000000-0005-0000-0000-00006A2D0000}"/>
    <cellStyle name="Input 9 2 2 3 2 2" xfId="24352" xr:uid="{00000000-0005-0000-0000-00006B2D0000}"/>
    <cellStyle name="Input 9 2 2 3 3" xfId="15139" xr:uid="{00000000-0005-0000-0000-00006C2D0000}"/>
    <cellStyle name="Input 9 2 2 3 3 2" xfId="29971" xr:uid="{00000000-0005-0000-0000-00006D2D0000}"/>
    <cellStyle name="Input 9 2 2 3 4" xfId="21890" xr:uid="{00000000-0005-0000-0000-00006E2D0000}"/>
    <cellStyle name="Input 9 2 2 4" xfId="2805" xr:uid="{00000000-0005-0000-0000-00006F2D0000}"/>
    <cellStyle name="Input 9 2 2 4 2" xfId="6896" xr:uid="{00000000-0005-0000-0000-0000702D0000}"/>
    <cellStyle name="Input 9 2 2 4 2 2" xfId="23103" xr:uid="{00000000-0005-0000-0000-0000712D0000}"/>
    <cellStyle name="Input 9 2 2 4 3" xfId="13143" xr:uid="{00000000-0005-0000-0000-0000722D0000}"/>
    <cellStyle name="Input 9 2 2 4 3 2" xfId="27975" xr:uid="{00000000-0005-0000-0000-0000732D0000}"/>
    <cellStyle name="Input 9 2 2 4 4" xfId="20763" xr:uid="{00000000-0005-0000-0000-0000742D0000}"/>
    <cellStyle name="Input 9 2 2 5" xfId="5969" xr:uid="{00000000-0005-0000-0000-0000752D0000}"/>
    <cellStyle name="Input 9 2 2 5 2" xfId="16161" xr:uid="{00000000-0005-0000-0000-0000762D0000}"/>
    <cellStyle name="Input 9 2 2 5 2 2" xfId="30993" xr:uid="{00000000-0005-0000-0000-0000772D0000}"/>
    <cellStyle name="Input 9 2 2 5 3" xfId="22534" xr:uid="{00000000-0005-0000-0000-0000782D0000}"/>
    <cellStyle name="Input 9 2 2 6" xfId="12231" xr:uid="{00000000-0005-0000-0000-0000792D0000}"/>
    <cellStyle name="Input 9 2 2 6 2" xfId="27063" xr:uid="{00000000-0005-0000-0000-00007A2D0000}"/>
    <cellStyle name="Input 9 2 2 7" xfId="9827" xr:uid="{00000000-0005-0000-0000-00007B2D0000}"/>
    <cellStyle name="Input 9 2 2 7 2" xfId="20078" xr:uid="{00000000-0005-0000-0000-00007C2D0000}"/>
    <cellStyle name="Input 9 2 3" xfId="4043" xr:uid="{00000000-0005-0000-0000-00007D2D0000}"/>
    <cellStyle name="Input 9 2 3 2" xfId="8090" xr:uid="{00000000-0005-0000-0000-00007E2D0000}"/>
    <cellStyle name="Input 9 2 3 2 2" xfId="23855" xr:uid="{00000000-0005-0000-0000-00007F2D0000}"/>
    <cellStyle name="Input 9 2 3 3" xfId="14375" xr:uid="{00000000-0005-0000-0000-0000802D0000}"/>
    <cellStyle name="Input 9 2 3 3 2" xfId="29207" xr:uid="{00000000-0005-0000-0000-0000812D0000}"/>
    <cellStyle name="Input 9 2 3 4" xfId="21489" xr:uid="{00000000-0005-0000-0000-0000822D0000}"/>
    <cellStyle name="Input 9 2 4" xfId="4395" xr:uid="{00000000-0005-0000-0000-0000832D0000}"/>
    <cellStyle name="Input 9 2 4 2" xfId="8434" xr:uid="{00000000-0005-0000-0000-0000842D0000}"/>
    <cellStyle name="Input 9 2 4 2 2" xfId="24092" xr:uid="{00000000-0005-0000-0000-0000852D0000}"/>
    <cellStyle name="Input 9 2 4 3" xfId="14724" xr:uid="{00000000-0005-0000-0000-0000862D0000}"/>
    <cellStyle name="Input 9 2 4 3 2" xfId="29556" xr:uid="{00000000-0005-0000-0000-0000872D0000}"/>
    <cellStyle name="Input 9 2 4 4" xfId="21660" xr:uid="{00000000-0005-0000-0000-0000882D0000}"/>
    <cellStyle name="Input 9 2 5" xfId="2385" xr:uid="{00000000-0005-0000-0000-0000892D0000}"/>
    <cellStyle name="Input 9 2 5 2" xfId="6497" xr:uid="{00000000-0005-0000-0000-00008A2D0000}"/>
    <cellStyle name="Input 9 2 5 2 2" xfId="22867" xr:uid="{00000000-0005-0000-0000-00008B2D0000}"/>
    <cellStyle name="Input 9 2 5 3" xfId="12724" xr:uid="{00000000-0005-0000-0000-00008C2D0000}"/>
    <cellStyle name="Input 9 2 5 3 2" xfId="27556" xr:uid="{00000000-0005-0000-0000-00008D2D0000}"/>
    <cellStyle name="Input 9 2 5 4" xfId="20509" xr:uid="{00000000-0005-0000-0000-00008E2D0000}"/>
    <cellStyle name="Input 9 2 6" xfId="5510" xr:uid="{00000000-0005-0000-0000-00008F2D0000}"/>
    <cellStyle name="Input 9 2 6 2" xfId="15745" xr:uid="{00000000-0005-0000-0000-0000902D0000}"/>
    <cellStyle name="Input 9 2 6 2 2" xfId="30577" xr:uid="{00000000-0005-0000-0000-0000912D0000}"/>
    <cellStyle name="Input 9 2 6 3" xfId="22238" xr:uid="{00000000-0005-0000-0000-0000922D0000}"/>
    <cellStyle name="Input 9 2 7" xfId="11760" xr:uid="{00000000-0005-0000-0000-0000932D0000}"/>
    <cellStyle name="Input 9 2 7 2" xfId="26592" xr:uid="{00000000-0005-0000-0000-0000942D0000}"/>
    <cellStyle name="Input 9 2 8" xfId="9431" xr:uid="{00000000-0005-0000-0000-0000952D0000}"/>
    <cellStyle name="Input 9 2 8 2" xfId="19735" xr:uid="{00000000-0005-0000-0000-0000962D0000}"/>
    <cellStyle name="Input 9 3" xfId="1491" xr:uid="{00000000-0005-0000-0000-0000972D0000}"/>
    <cellStyle name="Input 9 3 2" xfId="1992" xr:uid="{00000000-0005-0000-0000-0000982D0000}"/>
    <cellStyle name="Input 9 3 2 2" xfId="3711" xr:uid="{00000000-0005-0000-0000-0000992D0000}"/>
    <cellStyle name="Input 9 3 2 2 2" xfId="7767" xr:uid="{00000000-0005-0000-0000-00009A2D0000}"/>
    <cellStyle name="Input 9 3 2 2 2 2" xfId="23649" xr:uid="{00000000-0005-0000-0000-00009B2D0000}"/>
    <cellStyle name="Input 9 3 2 2 3" xfId="14046" xr:uid="{00000000-0005-0000-0000-00009C2D0000}"/>
    <cellStyle name="Input 9 3 2 2 3 2" xfId="28878" xr:uid="{00000000-0005-0000-0000-00009D2D0000}"/>
    <cellStyle name="Input 9 3 2 2 4" xfId="21309" xr:uid="{00000000-0005-0000-0000-00009E2D0000}"/>
    <cellStyle name="Input 9 3 2 3" xfId="4956" xr:uid="{00000000-0005-0000-0000-00009F2D0000}"/>
    <cellStyle name="Input 9 3 2 3 2" xfId="8995" xr:uid="{00000000-0005-0000-0000-0000A02D0000}"/>
    <cellStyle name="Input 9 3 2 3 2 2" xfId="24461" xr:uid="{00000000-0005-0000-0000-0000A12D0000}"/>
    <cellStyle name="Input 9 3 2 3 3" xfId="15278" xr:uid="{00000000-0005-0000-0000-0000A22D0000}"/>
    <cellStyle name="Input 9 3 2 3 3 2" xfId="30110" xr:uid="{00000000-0005-0000-0000-0000A32D0000}"/>
    <cellStyle name="Input 9 3 2 3 4" xfId="21991" xr:uid="{00000000-0005-0000-0000-0000A42D0000}"/>
    <cellStyle name="Input 9 3 2 4" xfId="2946" xr:uid="{00000000-0005-0000-0000-0000A52D0000}"/>
    <cellStyle name="Input 9 3 2 4 2" xfId="7030" xr:uid="{00000000-0005-0000-0000-0000A62D0000}"/>
    <cellStyle name="Input 9 3 2 4 2 2" xfId="23204" xr:uid="{00000000-0005-0000-0000-0000A72D0000}"/>
    <cellStyle name="Input 9 3 2 4 3" xfId="13284" xr:uid="{00000000-0005-0000-0000-0000A82D0000}"/>
    <cellStyle name="Input 9 3 2 4 3 2" xfId="28116" xr:uid="{00000000-0005-0000-0000-0000A92D0000}"/>
    <cellStyle name="Input 9 3 2 4 4" xfId="20872" xr:uid="{00000000-0005-0000-0000-0000AA2D0000}"/>
    <cellStyle name="Input 9 3 2 5" xfId="6122" xr:uid="{00000000-0005-0000-0000-0000AB2D0000}"/>
    <cellStyle name="Input 9 3 2 5 2" xfId="16309" xr:uid="{00000000-0005-0000-0000-0000AC2D0000}"/>
    <cellStyle name="Input 9 3 2 5 2 2" xfId="31141" xr:uid="{00000000-0005-0000-0000-0000AD2D0000}"/>
    <cellStyle name="Input 9 3 2 5 3" xfId="22655" xr:uid="{00000000-0005-0000-0000-0000AE2D0000}"/>
    <cellStyle name="Input 9 3 2 6" xfId="12379" xr:uid="{00000000-0005-0000-0000-0000AF2D0000}"/>
    <cellStyle name="Input 9 3 2 6 2" xfId="27211" xr:uid="{00000000-0005-0000-0000-0000B02D0000}"/>
    <cellStyle name="Input 9 3 2 7" xfId="9961" xr:uid="{00000000-0005-0000-0000-0000B12D0000}"/>
    <cellStyle name="Input 9 3 2 7 2" xfId="20163" xr:uid="{00000000-0005-0000-0000-0000B22D0000}"/>
    <cellStyle name="Input 9 3 3" xfId="3322" xr:uid="{00000000-0005-0000-0000-0000B32D0000}"/>
    <cellStyle name="Input 9 3 3 2" xfId="7385" xr:uid="{00000000-0005-0000-0000-0000B42D0000}"/>
    <cellStyle name="Input 9 3 3 2 2" xfId="23398" xr:uid="{00000000-0005-0000-0000-0000B52D0000}"/>
    <cellStyle name="Input 9 3 3 3" xfId="13659" xr:uid="{00000000-0005-0000-0000-0000B62D0000}"/>
    <cellStyle name="Input 9 3 3 3 2" xfId="28491" xr:uid="{00000000-0005-0000-0000-0000B72D0000}"/>
    <cellStyle name="Input 9 3 3 4" xfId="21086" xr:uid="{00000000-0005-0000-0000-0000B82D0000}"/>
    <cellStyle name="Input 9 3 4" xfId="4536" xr:uid="{00000000-0005-0000-0000-0000B92D0000}"/>
    <cellStyle name="Input 9 3 4 2" xfId="8575" xr:uid="{00000000-0005-0000-0000-0000BA2D0000}"/>
    <cellStyle name="Input 9 3 4 2 2" xfId="24201" xr:uid="{00000000-0005-0000-0000-0000BB2D0000}"/>
    <cellStyle name="Input 9 3 4 3" xfId="14863" xr:uid="{00000000-0005-0000-0000-0000BC2D0000}"/>
    <cellStyle name="Input 9 3 4 3 2" xfId="29695" xr:uid="{00000000-0005-0000-0000-0000BD2D0000}"/>
    <cellStyle name="Input 9 3 4 4" xfId="21761" xr:uid="{00000000-0005-0000-0000-0000BE2D0000}"/>
    <cellStyle name="Input 9 3 5" xfId="2526" xr:uid="{00000000-0005-0000-0000-0000BF2D0000}"/>
    <cellStyle name="Input 9 3 5 2" xfId="6632" xr:uid="{00000000-0005-0000-0000-0000C02D0000}"/>
    <cellStyle name="Input 9 3 5 2 2" xfId="22970" xr:uid="{00000000-0005-0000-0000-0000C12D0000}"/>
    <cellStyle name="Input 9 3 5 3" xfId="12864" xr:uid="{00000000-0005-0000-0000-0000C22D0000}"/>
    <cellStyle name="Input 9 3 5 3 2" xfId="27696" xr:uid="{00000000-0005-0000-0000-0000C32D0000}"/>
    <cellStyle name="Input 9 3 5 4" xfId="20616" xr:uid="{00000000-0005-0000-0000-0000C42D0000}"/>
    <cellStyle name="Input 9 3 6" xfId="5649" xr:uid="{00000000-0005-0000-0000-0000C52D0000}"/>
    <cellStyle name="Input 9 3 6 2" xfId="15884" xr:uid="{00000000-0005-0000-0000-0000C62D0000}"/>
    <cellStyle name="Input 9 3 6 2 2" xfId="30716" xr:uid="{00000000-0005-0000-0000-0000C72D0000}"/>
    <cellStyle name="Input 9 3 6 3" xfId="22345" xr:uid="{00000000-0005-0000-0000-0000C82D0000}"/>
    <cellStyle name="Input 9 3 7" xfId="11908" xr:uid="{00000000-0005-0000-0000-0000C92D0000}"/>
    <cellStyle name="Input 9 3 7 2" xfId="26740" xr:uid="{00000000-0005-0000-0000-0000CA2D0000}"/>
    <cellStyle name="Input 9 3 8" xfId="9566" xr:uid="{00000000-0005-0000-0000-0000CB2D0000}"/>
    <cellStyle name="Input 9 3 8 2" xfId="19868" xr:uid="{00000000-0005-0000-0000-0000CC2D0000}"/>
    <cellStyle name="Input 9 4" xfId="1392" xr:uid="{00000000-0005-0000-0000-0000CD2D0000}"/>
    <cellStyle name="Input 9 4 2" xfId="1894" xr:uid="{00000000-0005-0000-0000-0000CE2D0000}"/>
    <cellStyle name="Input 9 4 2 2" xfId="4341" xr:uid="{00000000-0005-0000-0000-0000CF2D0000}"/>
    <cellStyle name="Input 9 4 2 2 2" xfId="8380" xr:uid="{00000000-0005-0000-0000-0000D02D0000}"/>
    <cellStyle name="Input 9 4 2 2 2 2" xfId="24038" xr:uid="{00000000-0005-0000-0000-0000D12D0000}"/>
    <cellStyle name="Input 9 4 2 2 3" xfId="14672" xr:uid="{00000000-0005-0000-0000-0000D22D0000}"/>
    <cellStyle name="Input 9 4 2 2 3 2" xfId="29504" xr:uid="{00000000-0005-0000-0000-0000D32D0000}"/>
    <cellStyle name="Input 9 4 2 2 4" xfId="21633" xr:uid="{00000000-0005-0000-0000-0000D42D0000}"/>
    <cellStyle name="Input 9 4 2 3" xfId="4872" xr:uid="{00000000-0005-0000-0000-0000D52D0000}"/>
    <cellStyle name="Input 9 4 2 3 2" xfId="8911" xr:uid="{00000000-0005-0000-0000-0000D62D0000}"/>
    <cellStyle name="Input 9 4 2 3 2 2" xfId="24377" xr:uid="{00000000-0005-0000-0000-0000D72D0000}"/>
    <cellStyle name="Input 9 4 2 3 3" xfId="15195" xr:uid="{00000000-0005-0000-0000-0000D82D0000}"/>
    <cellStyle name="Input 9 4 2 3 3 2" xfId="30027" xr:uid="{00000000-0005-0000-0000-0000D92D0000}"/>
    <cellStyle name="Input 9 4 2 3 4" xfId="21909" xr:uid="{00000000-0005-0000-0000-0000DA2D0000}"/>
    <cellStyle name="Input 9 4 2 4" xfId="2862" xr:uid="{00000000-0005-0000-0000-0000DB2D0000}"/>
    <cellStyle name="Input 9 4 2 4 2" xfId="6947" xr:uid="{00000000-0005-0000-0000-0000DC2D0000}"/>
    <cellStyle name="Input 9 4 2 4 2 2" xfId="23122" xr:uid="{00000000-0005-0000-0000-0000DD2D0000}"/>
    <cellStyle name="Input 9 4 2 4 3" xfId="13200" xr:uid="{00000000-0005-0000-0000-0000DE2D0000}"/>
    <cellStyle name="Input 9 4 2 4 3 2" xfId="28032" xr:uid="{00000000-0005-0000-0000-0000DF2D0000}"/>
    <cellStyle name="Input 9 4 2 4 4" xfId="20788" xr:uid="{00000000-0005-0000-0000-0000E02D0000}"/>
    <cellStyle name="Input 9 4 2 5" xfId="6025" xr:uid="{00000000-0005-0000-0000-0000E12D0000}"/>
    <cellStyle name="Input 9 4 2 5 2" xfId="16212" xr:uid="{00000000-0005-0000-0000-0000E22D0000}"/>
    <cellStyle name="Input 9 4 2 5 2 2" xfId="31044" xr:uid="{00000000-0005-0000-0000-0000E32D0000}"/>
    <cellStyle name="Input 9 4 2 5 3" xfId="22558" xr:uid="{00000000-0005-0000-0000-0000E42D0000}"/>
    <cellStyle name="Input 9 4 2 6" xfId="12282" xr:uid="{00000000-0005-0000-0000-0000E52D0000}"/>
    <cellStyle name="Input 9 4 2 6 2" xfId="27114" xr:uid="{00000000-0005-0000-0000-0000E62D0000}"/>
    <cellStyle name="Input 9 4 2 7" xfId="9878" xr:uid="{00000000-0005-0000-0000-0000E72D0000}"/>
    <cellStyle name="Input 9 4 2 7 2" xfId="20082" xr:uid="{00000000-0005-0000-0000-0000E82D0000}"/>
    <cellStyle name="Input 9 4 3" xfId="3750" xr:uid="{00000000-0005-0000-0000-0000E92D0000}"/>
    <cellStyle name="Input 9 4 3 2" xfId="7806" xr:uid="{00000000-0005-0000-0000-0000EA2D0000}"/>
    <cellStyle name="Input 9 4 3 2 2" xfId="23676" xr:uid="{00000000-0005-0000-0000-0000EB2D0000}"/>
    <cellStyle name="Input 9 4 3 3" xfId="14085" xr:uid="{00000000-0005-0000-0000-0000EC2D0000}"/>
    <cellStyle name="Input 9 4 3 3 2" xfId="28917" xr:uid="{00000000-0005-0000-0000-0000ED2D0000}"/>
    <cellStyle name="Input 9 4 3 4" xfId="21332" xr:uid="{00000000-0005-0000-0000-0000EE2D0000}"/>
    <cellStyle name="Input 9 4 4" xfId="4452" xr:uid="{00000000-0005-0000-0000-0000EF2D0000}"/>
    <cellStyle name="Input 9 4 4 2" xfId="8491" xr:uid="{00000000-0005-0000-0000-0000F02D0000}"/>
    <cellStyle name="Input 9 4 4 2 2" xfId="24117" xr:uid="{00000000-0005-0000-0000-0000F12D0000}"/>
    <cellStyle name="Input 9 4 4 3" xfId="14780" xr:uid="{00000000-0005-0000-0000-0000F22D0000}"/>
    <cellStyle name="Input 9 4 4 3 2" xfId="29612" xr:uid="{00000000-0005-0000-0000-0000F32D0000}"/>
    <cellStyle name="Input 9 4 4 4" xfId="21679" xr:uid="{00000000-0005-0000-0000-0000F42D0000}"/>
    <cellStyle name="Input 9 4 5" xfId="2442" xr:uid="{00000000-0005-0000-0000-0000F52D0000}"/>
    <cellStyle name="Input 9 4 5 2" xfId="6548" xr:uid="{00000000-0005-0000-0000-0000F62D0000}"/>
    <cellStyle name="Input 9 4 5 2 2" xfId="22886" xr:uid="{00000000-0005-0000-0000-0000F72D0000}"/>
    <cellStyle name="Input 9 4 5 3" xfId="12781" xr:uid="{00000000-0005-0000-0000-0000F82D0000}"/>
    <cellStyle name="Input 9 4 5 3 2" xfId="27613" xr:uid="{00000000-0005-0000-0000-0000F92D0000}"/>
    <cellStyle name="Input 9 4 5 4" xfId="20534" xr:uid="{00000000-0005-0000-0000-0000FA2D0000}"/>
    <cellStyle name="Input 9 4 6" xfId="5566" xr:uid="{00000000-0005-0000-0000-0000FB2D0000}"/>
    <cellStyle name="Input 9 4 6 2" xfId="15801" xr:uid="{00000000-0005-0000-0000-0000FC2D0000}"/>
    <cellStyle name="Input 9 4 6 2 2" xfId="30633" xr:uid="{00000000-0005-0000-0000-0000FD2D0000}"/>
    <cellStyle name="Input 9 4 6 3" xfId="22262" xr:uid="{00000000-0005-0000-0000-0000FE2D0000}"/>
    <cellStyle name="Input 9 4 7" xfId="11811" xr:uid="{00000000-0005-0000-0000-0000FF2D0000}"/>
    <cellStyle name="Input 9 4 7 2" xfId="26643" xr:uid="{00000000-0005-0000-0000-0000002E0000}"/>
    <cellStyle name="Input 9 4 8" xfId="9483" xr:uid="{00000000-0005-0000-0000-0000012E0000}"/>
    <cellStyle name="Input 9 4 8 2" xfId="19786" xr:uid="{00000000-0005-0000-0000-0000022E0000}"/>
    <cellStyle name="Input 9 5" xfId="1497" xr:uid="{00000000-0005-0000-0000-0000032E0000}"/>
    <cellStyle name="Input 9 5 2" xfId="1998" xr:uid="{00000000-0005-0000-0000-0000042E0000}"/>
    <cellStyle name="Input 9 5 2 2" xfId="3526" xr:uid="{00000000-0005-0000-0000-0000052E0000}"/>
    <cellStyle name="Input 9 5 2 2 2" xfId="7588" xr:uid="{00000000-0005-0000-0000-0000062E0000}"/>
    <cellStyle name="Input 9 5 2 2 2 2" xfId="23536" xr:uid="{00000000-0005-0000-0000-0000072E0000}"/>
    <cellStyle name="Input 9 5 2 2 3" xfId="13863" xr:uid="{00000000-0005-0000-0000-0000082E0000}"/>
    <cellStyle name="Input 9 5 2 2 3 2" xfId="28695" xr:uid="{00000000-0005-0000-0000-0000092E0000}"/>
    <cellStyle name="Input 9 5 2 2 4" xfId="21211" xr:uid="{00000000-0005-0000-0000-00000A2E0000}"/>
    <cellStyle name="Input 9 5 2 3" xfId="4962" xr:uid="{00000000-0005-0000-0000-00000B2E0000}"/>
    <cellStyle name="Input 9 5 2 3 2" xfId="9001" xr:uid="{00000000-0005-0000-0000-00000C2E0000}"/>
    <cellStyle name="Input 9 5 2 3 2 2" xfId="24467" xr:uid="{00000000-0005-0000-0000-00000D2E0000}"/>
    <cellStyle name="Input 9 5 2 3 3" xfId="15284" xr:uid="{00000000-0005-0000-0000-00000E2E0000}"/>
    <cellStyle name="Input 9 5 2 3 3 2" xfId="30116" xr:uid="{00000000-0005-0000-0000-00000F2E0000}"/>
    <cellStyle name="Input 9 5 2 3 4" xfId="21997" xr:uid="{00000000-0005-0000-0000-0000102E0000}"/>
    <cellStyle name="Input 9 5 2 4" xfId="2952" xr:uid="{00000000-0005-0000-0000-0000112E0000}"/>
    <cellStyle name="Input 9 5 2 4 2" xfId="7036" xr:uid="{00000000-0005-0000-0000-0000122E0000}"/>
    <cellStyle name="Input 9 5 2 4 2 2" xfId="23210" xr:uid="{00000000-0005-0000-0000-0000132E0000}"/>
    <cellStyle name="Input 9 5 2 4 3" xfId="13290" xr:uid="{00000000-0005-0000-0000-0000142E0000}"/>
    <cellStyle name="Input 9 5 2 4 3 2" xfId="28122" xr:uid="{00000000-0005-0000-0000-0000152E0000}"/>
    <cellStyle name="Input 9 5 2 4 4" xfId="20878" xr:uid="{00000000-0005-0000-0000-0000162E0000}"/>
    <cellStyle name="Input 9 5 2 5" xfId="6128" xr:uid="{00000000-0005-0000-0000-0000172E0000}"/>
    <cellStyle name="Input 9 5 2 5 2" xfId="16315" xr:uid="{00000000-0005-0000-0000-0000182E0000}"/>
    <cellStyle name="Input 9 5 2 5 2 2" xfId="31147" xr:uid="{00000000-0005-0000-0000-0000192E0000}"/>
    <cellStyle name="Input 9 5 2 5 3" xfId="22661" xr:uid="{00000000-0005-0000-0000-00001A2E0000}"/>
    <cellStyle name="Input 9 5 2 6" xfId="12385" xr:uid="{00000000-0005-0000-0000-00001B2E0000}"/>
    <cellStyle name="Input 9 5 2 6 2" xfId="27217" xr:uid="{00000000-0005-0000-0000-00001C2E0000}"/>
    <cellStyle name="Input 9 5 2 7" xfId="9967" xr:uid="{00000000-0005-0000-0000-00001D2E0000}"/>
    <cellStyle name="Input 9 5 2 7 2" xfId="20169" xr:uid="{00000000-0005-0000-0000-00001E2E0000}"/>
    <cellStyle name="Input 9 5 3" xfId="3172" xr:uid="{00000000-0005-0000-0000-00001F2E0000}"/>
    <cellStyle name="Input 9 5 3 2" xfId="7236" xr:uid="{00000000-0005-0000-0000-0000202E0000}"/>
    <cellStyle name="Input 9 5 3 2 2" xfId="23296" xr:uid="{00000000-0005-0000-0000-0000212E0000}"/>
    <cellStyle name="Input 9 5 3 3" xfId="13510" xr:uid="{00000000-0005-0000-0000-0000222E0000}"/>
    <cellStyle name="Input 9 5 3 3 2" xfId="28342" xr:uid="{00000000-0005-0000-0000-0000232E0000}"/>
    <cellStyle name="Input 9 5 3 4" xfId="20986" xr:uid="{00000000-0005-0000-0000-0000242E0000}"/>
    <cellStyle name="Input 9 5 4" xfId="4542" xr:uid="{00000000-0005-0000-0000-0000252E0000}"/>
    <cellStyle name="Input 9 5 4 2" xfId="8581" xr:uid="{00000000-0005-0000-0000-0000262E0000}"/>
    <cellStyle name="Input 9 5 4 2 2" xfId="24207" xr:uid="{00000000-0005-0000-0000-0000272E0000}"/>
    <cellStyle name="Input 9 5 4 3" xfId="14869" xr:uid="{00000000-0005-0000-0000-0000282E0000}"/>
    <cellStyle name="Input 9 5 4 3 2" xfId="29701" xr:uid="{00000000-0005-0000-0000-0000292E0000}"/>
    <cellStyle name="Input 9 5 4 4" xfId="21767" xr:uid="{00000000-0005-0000-0000-00002A2E0000}"/>
    <cellStyle name="Input 9 5 5" xfId="2532" xr:uid="{00000000-0005-0000-0000-00002B2E0000}"/>
    <cellStyle name="Input 9 5 5 2" xfId="6638" xr:uid="{00000000-0005-0000-0000-00002C2E0000}"/>
    <cellStyle name="Input 9 5 5 2 2" xfId="22976" xr:uid="{00000000-0005-0000-0000-00002D2E0000}"/>
    <cellStyle name="Input 9 5 5 3" xfId="12870" xr:uid="{00000000-0005-0000-0000-00002E2E0000}"/>
    <cellStyle name="Input 9 5 5 3 2" xfId="27702" xr:uid="{00000000-0005-0000-0000-00002F2E0000}"/>
    <cellStyle name="Input 9 5 5 4" xfId="20622" xr:uid="{00000000-0005-0000-0000-0000302E0000}"/>
    <cellStyle name="Input 9 5 6" xfId="5655" xr:uid="{00000000-0005-0000-0000-0000312E0000}"/>
    <cellStyle name="Input 9 5 6 2" xfId="15890" xr:uid="{00000000-0005-0000-0000-0000322E0000}"/>
    <cellStyle name="Input 9 5 6 2 2" xfId="30722" xr:uid="{00000000-0005-0000-0000-0000332E0000}"/>
    <cellStyle name="Input 9 5 6 3" xfId="22351" xr:uid="{00000000-0005-0000-0000-0000342E0000}"/>
    <cellStyle name="Input 9 5 7" xfId="11914" xr:uid="{00000000-0005-0000-0000-0000352E0000}"/>
    <cellStyle name="Input 9 5 7 2" xfId="26746" xr:uid="{00000000-0005-0000-0000-0000362E0000}"/>
    <cellStyle name="Input 9 5 8" xfId="9572" xr:uid="{00000000-0005-0000-0000-0000372E0000}"/>
    <cellStyle name="Input 9 5 8 2" xfId="19874" xr:uid="{00000000-0005-0000-0000-0000382E0000}"/>
    <cellStyle name="Input 9 6" xfId="1759" xr:uid="{00000000-0005-0000-0000-0000392E0000}"/>
    <cellStyle name="Input 9 6 2" xfId="3973" xr:uid="{00000000-0005-0000-0000-00003A2E0000}"/>
    <cellStyle name="Input 9 6 2 2" xfId="8022" xr:uid="{00000000-0005-0000-0000-00003B2E0000}"/>
    <cellStyle name="Input 9 6 2 2 2" xfId="23814" xr:uid="{00000000-0005-0000-0000-00003C2E0000}"/>
    <cellStyle name="Input 9 6 2 3" xfId="14306" xr:uid="{00000000-0005-0000-0000-00003D2E0000}"/>
    <cellStyle name="Input 9 6 2 3 2" xfId="29138" xr:uid="{00000000-0005-0000-0000-00003E2E0000}"/>
    <cellStyle name="Input 9 6 2 4" xfId="21452" xr:uid="{00000000-0005-0000-0000-00003F2E0000}"/>
    <cellStyle name="Input 9 6 3" xfId="4737" xr:uid="{00000000-0005-0000-0000-0000402E0000}"/>
    <cellStyle name="Input 9 6 3 2" xfId="8776" xr:uid="{00000000-0005-0000-0000-0000412E0000}"/>
    <cellStyle name="Input 9 6 3 2 2" xfId="24306" xr:uid="{00000000-0005-0000-0000-0000422E0000}"/>
    <cellStyle name="Input 9 6 3 3" xfId="15061" xr:uid="{00000000-0005-0000-0000-0000432E0000}"/>
    <cellStyle name="Input 9 6 3 3 2" xfId="29893" xr:uid="{00000000-0005-0000-0000-0000442E0000}"/>
    <cellStyle name="Input 9 6 3 4" xfId="21844" xr:uid="{00000000-0005-0000-0000-0000452E0000}"/>
    <cellStyle name="Input 9 6 4" xfId="2727" xr:uid="{00000000-0005-0000-0000-0000462E0000}"/>
    <cellStyle name="Input 9 6 4 2" xfId="6818" xr:uid="{00000000-0005-0000-0000-0000472E0000}"/>
    <cellStyle name="Input 9 6 4 2 2" xfId="23057" xr:uid="{00000000-0005-0000-0000-0000482E0000}"/>
    <cellStyle name="Input 9 6 4 3" xfId="13065" xr:uid="{00000000-0005-0000-0000-0000492E0000}"/>
    <cellStyle name="Input 9 6 4 3 2" xfId="27897" xr:uid="{00000000-0005-0000-0000-00004A2E0000}"/>
    <cellStyle name="Input 9 6 4 4" xfId="20717" xr:uid="{00000000-0005-0000-0000-00004B2E0000}"/>
    <cellStyle name="Input 9 6 5" xfId="5891" xr:uid="{00000000-0005-0000-0000-00004C2E0000}"/>
    <cellStyle name="Input 9 6 5 2" xfId="16083" xr:uid="{00000000-0005-0000-0000-00004D2E0000}"/>
    <cellStyle name="Input 9 6 5 2 2" xfId="30915" xr:uid="{00000000-0005-0000-0000-00004E2E0000}"/>
    <cellStyle name="Input 9 6 5 3" xfId="22488" xr:uid="{00000000-0005-0000-0000-00004F2E0000}"/>
    <cellStyle name="Input 9 6 6" xfId="12153" xr:uid="{00000000-0005-0000-0000-0000502E0000}"/>
    <cellStyle name="Input 9 6 6 2" xfId="26985" xr:uid="{00000000-0005-0000-0000-0000512E0000}"/>
    <cellStyle name="Input 9 6 7" xfId="9749" xr:uid="{00000000-0005-0000-0000-0000522E0000}"/>
    <cellStyle name="Input 9 6 7 2" xfId="20047" xr:uid="{00000000-0005-0000-0000-0000532E0000}"/>
    <cellStyle name="Input 9 7" xfId="2207" xr:uid="{00000000-0005-0000-0000-0000542E0000}"/>
    <cellStyle name="Input 9 7 2" xfId="3937" xr:uid="{00000000-0005-0000-0000-0000552E0000}"/>
    <cellStyle name="Input 9 7 2 2" xfId="7987" xr:uid="{00000000-0005-0000-0000-0000562E0000}"/>
    <cellStyle name="Input 9 7 2 2 2" xfId="23788" xr:uid="{00000000-0005-0000-0000-0000572E0000}"/>
    <cellStyle name="Input 9 7 2 3" xfId="14270" xr:uid="{00000000-0005-0000-0000-0000582E0000}"/>
    <cellStyle name="Input 9 7 2 3 2" xfId="29102" xr:uid="{00000000-0005-0000-0000-0000592E0000}"/>
    <cellStyle name="Input 9 7 2 4" xfId="21430" xr:uid="{00000000-0005-0000-0000-00005A2E0000}"/>
    <cellStyle name="Input 9 7 3" xfId="5175" xr:uid="{00000000-0005-0000-0000-00005B2E0000}"/>
    <cellStyle name="Input 9 7 3 2" xfId="9214" xr:uid="{00000000-0005-0000-0000-00005C2E0000}"/>
    <cellStyle name="Input 9 7 3 2 2" xfId="24552" xr:uid="{00000000-0005-0000-0000-00005D2E0000}"/>
    <cellStyle name="Input 9 7 3 3" xfId="15493" xr:uid="{00000000-0005-0000-0000-00005E2E0000}"/>
    <cellStyle name="Input 9 7 3 3 2" xfId="30325" xr:uid="{00000000-0005-0000-0000-00005F2E0000}"/>
    <cellStyle name="Input 9 7 3 4" xfId="22059" xr:uid="{00000000-0005-0000-0000-0000602E0000}"/>
    <cellStyle name="Input 9 7 4" xfId="4205" xr:uid="{00000000-0005-0000-0000-0000612E0000}"/>
    <cellStyle name="Input 9 7 4 2" xfId="8246" xr:uid="{00000000-0005-0000-0000-0000622E0000}"/>
    <cellStyle name="Input 9 7 4 2 2" xfId="23941" xr:uid="{00000000-0005-0000-0000-0000632E0000}"/>
    <cellStyle name="Input 9 7 4 3" xfId="14537" xr:uid="{00000000-0005-0000-0000-0000642E0000}"/>
    <cellStyle name="Input 9 7 4 3 2" xfId="29369" xr:uid="{00000000-0005-0000-0000-0000652E0000}"/>
    <cellStyle name="Input 9 7 4 4" xfId="21566" xr:uid="{00000000-0005-0000-0000-0000662E0000}"/>
    <cellStyle name="Input 9 7 5" xfId="6321" xr:uid="{00000000-0005-0000-0000-0000672E0000}"/>
    <cellStyle name="Input 9 7 5 2" xfId="22723" xr:uid="{00000000-0005-0000-0000-0000682E0000}"/>
    <cellStyle name="Input 9 7 6" xfId="12575" xr:uid="{00000000-0005-0000-0000-0000692E0000}"/>
    <cellStyle name="Input 9 7 6 2" xfId="27407" xr:uid="{00000000-0005-0000-0000-00006A2E0000}"/>
    <cellStyle name="Input 9 7 7" xfId="20402" xr:uid="{00000000-0005-0000-0000-00006B2E0000}"/>
    <cellStyle name="Input 9 8" xfId="3144" xr:uid="{00000000-0005-0000-0000-00006C2E0000}"/>
    <cellStyle name="Input 9 8 2" xfId="7208" xr:uid="{00000000-0005-0000-0000-00006D2E0000}"/>
    <cellStyle name="Input 9 8 2 2" xfId="23277" xr:uid="{00000000-0005-0000-0000-00006E2E0000}"/>
    <cellStyle name="Input 9 8 3" xfId="13482" xr:uid="{00000000-0005-0000-0000-00006F2E0000}"/>
    <cellStyle name="Input 9 8 3 2" xfId="28314" xr:uid="{00000000-0005-0000-0000-0000702E0000}"/>
    <cellStyle name="Input 9 8 4" xfId="20968" xr:uid="{00000000-0005-0000-0000-0000712E0000}"/>
    <cellStyle name="Input 9 9" xfId="3299" xr:uid="{00000000-0005-0000-0000-0000722E0000}"/>
    <cellStyle name="Input 9 9 2" xfId="7363" xr:uid="{00000000-0005-0000-0000-0000732E0000}"/>
    <cellStyle name="Input 9 9 2 2" xfId="23386" xr:uid="{00000000-0005-0000-0000-0000742E0000}"/>
    <cellStyle name="Input 9 9 3" xfId="13636" xr:uid="{00000000-0005-0000-0000-0000752E0000}"/>
    <cellStyle name="Input 9 9 3 2" xfId="28468" xr:uid="{00000000-0005-0000-0000-0000762E0000}"/>
    <cellStyle name="Input 9 9 4" xfId="21073" xr:uid="{00000000-0005-0000-0000-0000772E0000}"/>
    <cellStyle name="Linked Cell 10" xfId="1127" xr:uid="{00000000-0005-0000-0000-0000782E0000}"/>
    <cellStyle name="Linked Cell 2" xfId="1128" xr:uid="{00000000-0005-0000-0000-0000792E0000}"/>
    <cellStyle name="Linked Cell 2 2" xfId="1129" xr:uid="{00000000-0005-0000-0000-00007A2E0000}"/>
    <cellStyle name="Linked Cell 2 3" xfId="1130" xr:uid="{00000000-0005-0000-0000-00007B2E0000}"/>
    <cellStyle name="Linked Cell 2 4" xfId="1131" xr:uid="{00000000-0005-0000-0000-00007C2E0000}"/>
    <cellStyle name="Linked Cell 2 5" xfId="1132" xr:uid="{00000000-0005-0000-0000-00007D2E0000}"/>
    <cellStyle name="Linked Cell 2 6" xfId="1133" xr:uid="{00000000-0005-0000-0000-00007E2E0000}"/>
    <cellStyle name="Linked Cell 2 7" xfId="1134" xr:uid="{00000000-0005-0000-0000-00007F2E0000}"/>
    <cellStyle name="Linked Cell 2 8" xfId="1135" xr:uid="{00000000-0005-0000-0000-0000802E0000}"/>
    <cellStyle name="Linked Cell 3" xfId="1136" xr:uid="{00000000-0005-0000-0000-0000812E0000}"/>
    <cellStyle name="Linked Cell 4" xfId="1137" xr:uid="{00000000-0005-0000-0000-0000822E0000}"/>
    <cellStyle name="Linked Cell 5" xfId="1138" xr:uid="{00000000-0005-0000-0000-0000832E0000}"/>
    <cellStyle name="Linked Cell 6" xfId="1139" xr:uid="{00000000-0005-0000-0000-0000842E0000}"/>
    <cellStyle name="Linked Cell 7" xfId="1140" xr:uid="{00000000-0005-0000-0000-0000852E0000}"/>
    <cellStyle name="Linked Cell 8" xfId="1141" xr:uid="{00000000-0005-0000-0000-0000862E0000}"/>
    <cellStyle name="Linked Cell 9" xfId="1142" xr:uid="{00000000-0005-0000-0000-0000872E0000}"/>
    <cellStyle name="Neutral 2" xfId="1144" xr:uid="{00000000-0005-0000-0000-0000882E0000}"/>
    <cellStyle name="Neutral 2 2" xfId="1145" xr:uid="{00000000-0005-0000-0000-0000892E0000}"/>
    <cellStyle name="Neutral 2 3" xfId="1146" xr:uid="{00000000-0005-0000-0000-00008A2E0000}"/>
    <cellStyle name="Neutral 2 4" xfId="1147" xr:uid="{00000000-0005-0000-0000-00008B2E0000}"/>
    <cellStyle name="Neutral 2 5" xfId="1148" xr:uid="{00000000-0005-0000-0000-00008C2E0000}"/>
    <cellStyle name="Neutral 2 6" xfId="1149" xr:uid="{00000000-0005-0000-0000-00008D2E0000}"/>
    <cellStyle name="Neutral 2 7" xfId="1150" xr:uid="{00000000-0005-0000-0000-00008E2E0000}"/>
    <cellStyle name="Neutral 2 8" xfId="1151" xr:uid="{00000000-0005-0000-0000-00008F2E0000}"/>
    <cellStyle name="Neutral 3" xfId="1152" xr:uid="{00000000-0005-0000-0000-0000902E0000}"/>
    <cellStyle name="Neutral 4" xfId="1153" xr:uid="{00000000-0005-0000-0000-0000912E0000}"/>
    <cellStyle name="Neutral 5" xfId="1154" xr:uid="{00000000-0005-0000-0000-0000922E0000}"/>
    <cellStyle name="Neutral 6" xfId="1155" xr:uid="{00000000-0005-0000-0000-0000932E0000}"/>
    <cellStyle name="Neutral 7" xfId="1156" xr:uid="{00000000-0005-0000-0000-0000942E0000}"/>
    <cellStyle name="Neutral 8" xfId="1157" xr:uid="{00000000-0005-0000-0000-0000952E0000}"/>
    <cellStyle name="Neutral 9" xfId="1143" xr:uid="{00000000-0005-0000-0000-0000962E0000}"/>
    <cellStyle name="Normal" xfId="0" builtinId="0"/>
    <cellStyle name="Normal 10" xfId="1158" xr:uid="{00000000-0005-0000-0000-0000982E0000}"/>
    <cellStyle name="Normal 11" xfId="1159" xr:uid="{00000000-0005-0000-0000-0000992E0000}"/>
    <cellStyle name="Normal 12" xfId="1160" xr:uid="{00000000-0005-0000-0000-00009A2E0000}"/>
    <cellStyle name="Normal 13" xfId="1161" xr:uid="{00000000-0005-0000-0000-00009B2E0000}"/>
    <cellStyle name="Normal 14" xfId="1162" xr:uid="{00000000-0005-0000-0000-00009C2E0000}"/>
    <cellStyle name="Normal 15" xfId="1163" xr:uid="{00000000-0005-0000-0000-00009D2E0000}"/>
    <cellStyle name="Normal 16" xfId="1164" xr:uid="{00000000-0005-0000-0000-00009E2E0000}"/>
    <cellStyle name="Normal 17" xfId="1165" xr:uid="{00000000-0005-0000-0000-00009F2E0000}"/>
    <cellStyle name="Normal 18" xfId="1166" xr:uid="{00000000-0005-0000-0000-0000A02E0000}"/>
    <cellStyle name="Normal 19" xfId="1167" xr:uid="{00000000-0005-0000-0000-0000A12E0000}"/>
    <cellStyle name="Normal 2" xfId="2" xr:uid="{00000000-0005-0000-0000-0000A22E0000}"/>
    <cellStyle name="Normal 2 2" xfId="1168" xr:uid="{00000000-0005-0000-0000-0000A32E0000}"/>
    <cellStyle name="Normal 20" xfId="1169" xr:uid="{00000000-0005-0000-0000-0000A42E0000}"/>
    <cellStyle name="Normal 21" xfId="1170" xr:uid="{00000000-0005-0000-0000-0000A52E0000}"/>
    <cellStyle name="Normal 22" xfId="1171" xr:uid="{00000000-0005-0000-0000-0000A62E0000}"/>
    <cellStyle name="Normal 23" xfId="1172" xr:uid="{00000000-0005-0000-0000-0000A72E0000}"/>
    <cellStyle name="Normal 24" xfId="8" xr:uid="{00000000-0005-0000-0000-0000A82E0000}"/>
    <cellStyle name="Normal 25" xfId="33018" xr:uid="{00000000-0005-0000-0000-0000A92E0000}"/>
    <cellStyle name="Normal 26" xfId="33020" xr:uid="{00000000-0005-0000-0000-0000AA2E0000}"/>
    <cellStyle name="Normal 26 2" xfId="33023" xr:uid="{00000000-0005-0000-0000-0000AB2E0000}"/>
    <cellStyle name="Normal 3" xfId="1173" xr:uid="{00000000-0005-0000-0000-0000AC2E0000}"/>
    <cellStyle name="Normal 3 2" xfId="1682" xr:uid="{00000000-0005-0000-0000-0000AD2E0000}"/>
    <cellStyle name="Normal 4" xfId="1174" xr:uid="{00000000-0005-0000-0000-0000AE2E0000}"/>
    <cellStyle name="Normal 4 2" xfId="1175" xr:uid="{00000000-0005-0000-0000-0000AF2E0000}"/>
    <cellStyle name="Normal 4 2 2" xfId="1176" xr:uid="{00000000-0005-0000-0000-0000B02E0000}"/>
    <cellStyle name="Normal 4 2 2 2" xfId="1177" xr:uid="{00000000-0005-0000-0000-0000B12E0000}"/>
    <cellStyle name="Normal 4 2 3" xfId="1178" xr:uid="{00000000-0005-0000-0000-0000B22E0000}"/>
    <cellStyle name="Normal 4 2 3 2" xfId="1179" xr:uid="{00000000-0005-0000-0000-0000B32E0000}"/>
    <cellStyle name="Normal 4 2 4" xfId="1180" xr:uid="{00000000-0005-0000-0000-0000B42E0000}"/>
    <cellStyle name="Normal 4 2 4 2" xfId="1181" xr:uid="{00000000-0005-0000-0000-0000B52E0000}"/>
    <cellStyle name="Normal 4 2 5" xfId="1182" xr:uid="{00000000-0005-0000-0000-0000B62E0000}"/>
    <cellStyle name="Normal 4 2 5 2" xfId="1183" xr:uid="{00000000-0005-0000-0000-0000B72E0000}"/>
    <cellStyle name="Normal 4 2 6" xfId="1184" xr:uid="{00000000-0005-0000-0000-0000B82E0000}"/>
    <cellStyle name="Normal 4 2 6 2" xfId="1185" xr:uid="{00000000-0005-0000-0000-0000B92E0000}"/>
    <cellStyle name="Normal 4 2 7" xfId="1186" xr:uid="{00000000-0005-0000-0000-0000BA2E0000}"/>
    <cellStyle name="Normal 4 2 7 2" xfId="1187" xr:uid="{00000000-0005-0000-0000-0000BB2E0000}"/>
    <cellStyle name="Normal 4 2 8" xfId="1188" xr:uid="{00000000-0005-0000-0000-0000BC2E0000}"/>
    <cellStyle name="Normal 4 2 8 2" xfId="1189" xr:uid="{00000000-0005-0000-0000-0000BD2E0000}"/>
    <cellStyle name="Normal 4 2_GREET1_Import" xfId="1190" xr:uid="{00000000-0005-0000-0000-0000BE2E0000}"/>
    <cellStyle name="Normal 4 3" xfId="1191" xr:uid="{00000000-0005-0000-0000-0000BF2E0000}"/>
    <cellStyle name="Normal 4 4" xfId="1192" xr:uid="{00000000-0005-0000-0000-0000C02E0000}"/>
    <cellStyle name="Normal 4 5" xfId="1193" xr:uid="{00000000-0005-0000-0000-0000C12E0000}"/>
    <cellStyle name="Normal 4 6" xfId="1194" xr:uid="{00000000-0005-0000-0000-0000C22E0000}"/>
    <cellStyle name="Normal 4 7" xfId="1195" xr:uid="{00000000-0005-0000-0000-0000C32E0000}"/>
    <cellStyle name="Normal 4 8" xfId="1196" xr:uid="{00000000-0005-0000-0000-0000C42E0000}"/>
    <cellStyle name="Normal 4 9" xfId="1197" xr:uid="{00000000-0005-0000-0000-0000C52E0000}"/>
    <cellStyle name="Normal 4_GREET2_8d_0" xfId="1198" xr:uid="{00000000-0005-0000-0000-0000C62E0000}"/>
    <cellStyle name="Normal 5" xfId="1199" xr:uid="{00000000-0005-0000-0000-0000C72E0000}"/>
    <cellStyle name="Normal 5 2" xfId="1200" xr:uid="{00000000-0005-0000-0000-0000C82E0000}"/>
    <cellStyle name="Normal 5 3" xfId="1201" xr:uid="{00000000-0005-0000-0000-0000C92E0000}"/>
    <cellStyle name="Normal 5 4" xfId="1202" xr:uid="{00000000-0005-0000-0000-0000CA2E0000}"/>
    <cellStyle name="Normal 5 5" xfId="1203" xr:uid="{00000000-0005-0000-0000-0000CB2E0000}"/>
    <cellStyle name="Normal 5 6" xfId="1204" xr:uid="{00000000-0005-0000-0000-0000CC2E0000}"/>
    <cellStyle name="Normal 5 7" xfId="1205" xr:uid="{00000000-0005-0000-0000-0000CD2E0000}"/>
    <cellStyle name="Normal 5 8" xfId="1206" xr:uid="{00000000-0005-0000-0000-0000CE2E0000}"/>
    <cellStyle name="Normal 6" xfId="1207" xr:uid="{00000000-0005-0000-0000-0000CF2E0000}"/>
    <cellStyle name="Normal 7" xfId="1208" xr:uid="{00000000-0005-0000-0000-0000D02E0000}"/>
    <cellStyle name="Normal 8" xfId="1209" xr:uid="{00000000-0005-0000-0000-0000D12E0000}"/>
    <cellStyle name="Normal 9" xfId="1210" xr:uid="{00000000-0005-0000-0000-0000D22E0000}"/>
    <cellStyle name="Normal GHG Numbers (0.00)" xfId="1211" xr:uid="{00000000-0005-0000-0000-0000D32E0000}"/>
    <cellStyle name="Normal GHG Numbers (0.00) 2" xfId="1299" xr:uid="{00000000-0005-0000-0000-0000D42E0000}"/>
    <cellStyle name="Normal GHG Numbers (0.00) 2 10" xfId="1689" xr:uid="{00000000-0005-0000-0000-0000D52E0000}"/>
    <cellStyle name="Normal GHG Numbers (0.00) 2 10 2" xfId="5821" xr:uid="{00000000-0005-0000-0000-0000D62E0000}"/>
    <cellStyle name="Normal GHG Numbers (0.00) 2 10 2 2" xfId="22418" xr:uid="{00000000-0005-0000-0000-0000D72E0000}"/>
    <cellStyle name="Normal GHG Numbers (0.00) 2 10 3" xfId="12083" xr:uid="{00000000-0005-0000-0000-0000D82E0000}"/>
    <cellStyle name="Normal GHG Numbers (0.00) 2 10 3 2" xfId="26915" xr:uid="{00000000-0005-0000-0000-0000D92E0000}"/>
    <cellStyle name="Normal GHG Numbers (0.00) 2 11" xfId="5476" xr:uid="{00000000-0005-0000-0000-0000DA2E0000}"/>
    <cellStyle name="Normal GHG Numbers (0.00) 2 11 2" xfId="15711" xr:uid="{00000000-0005-0000-0000-0000DB2E0000}"/>
    <cellStyle name="Normal GHG Numbers (0.00) 2 11 2 2" xfId="30543" xr:uid="{00000000-0005-0000-0000-0000DC2E0000}"/>
    <cellStyle name="Normal GHG Numbers (0.00) 2 11 3" xfId="22204" xr:uid="{00000000-0005-0000-0000-0000DD2E0000}"/>
    <cellStyle name="Normal GHG Numbers (0.00) 2 2" xfId="1383" xr:uid="{00000000-0005-0000-0000-0000DE2E0000}"/>
    <cellStyle name="Normal GHG Numbers (0.00) 2 2 2" xfId="1678" xr:uid="{00000000-0005-0000-0000-0000DF2E0000}"/>
    <cellStyle name="Normal GHG Numbers (0.00) 2 2 2 2" xfId="2261" xr:uid="{00000000-0005-0000-0000-0000E02E0000}"/>
    <cellStyle name="Normal GHG Numbers (0.00) 2 2 2 2 2" xfId="4365" xr:uid="{00000000-0005-0000-0000-0000E12E0000}"/>
    <cellStyle name="Normal GHG Numbers (0.00) 2 2 2 2 2 2" xfId="8404" xr:uid="{00000000-0005-0000-0000-0000E22E0000}"/>
    <cellStyle name="Normal GHG Numbers (0.00) 2 2 2 2 2 2 2" xfId="24062" xr:uid="{00000000-0005-0000-0000-0000E32E0000}"/>
    <cellStyle name="Normal GHG Numbers (0.00) 2 2 2 2 2 3" xfId="14694" xr:uid="{00000000-0005-0000-0000-0000E42E0000}"/>
    <cellStyle name="Normal GHG Numbers (0.00) 2 2 2 2 2 3 2" xfId="29526" xr:uid="{00000000-0005-0000-0000-0000E52E0000}"/>
    <cellStyle name="Normal GHG Numbers (0.00) 2 2 2 2 3" xfId="5229" xr:uid="{00000000-0005-0000-0000-0000E62E0000}"/>
    <cellStyle name="Normal GHG Numbers (0.00) 2 2 2 2 3 2" xfId="9268" xr:uid="{00000000-0005-0000-0000-0000E72E0000}"/>
    <cellStyle name="Normal GHG Numbers (0.00) 2 2 2 2 3 2 2" xfId="24606" xr:uid="{00000000-0005-0000-0000-0000E82E0000}"/>
    <cellStyle name="Normal GHG Numbers (0.00) 2 2 2 2 3 3" xfId="15545" xr:uid="{00000000-0005-0000-0000-0000E92E0000}"/>
    <cellStyle name="Normal GHG Numbers (0.00) 2 2 2 2 3 3 2" xfId="30377" xr:uid="{00000000-0005-0000-0000-0000EA2E0000}"/>
    <cellStyle name="Normal GHG Numbers (0.00) 2 2 2 2 4" xfId="4259" xr:uid="{00000000-0005-0000-0000-0000EB2E0000}"/>
    <cellStyle name="Normal GHG Numbers (0.00) 2 2 2 2 4 2" xfId="8298" xr:uid="{00000000-0005-0000-0000-0000EC2E0000}"/>
    <cellStyle name="Normal GHG Numbers (0.00) 2 2 2 2 4 2 2" xfId="23993" xr:uid="{00000000-0005-0000-0000-0000ED2E0000}"/>
    <cellStyle name="Normal GHG Numbers (0.00) 2 2 2 2 4 3" xfId="14591" xr:uid="{00000000-0005-0000-0000-0000EE2E0000}"/>
    <cellStyle name="Normal GHG Numbers (0.00) 2 2 2 2 4 3 2" xfId="29423" xr:uid="{00000000-0005-0000-0000-0000EF2E0000}"/>
    <cellStyle name="Normal GHG Numbers (0.00) 2 2 2 2 5" xfId="6373" xr:uid="{00000000-0005-0000-0000-0000F02E0000}"/>
    <cellStyle name="Normal GHG Numbers (0.00) 2 2 2 2 5 2" xfId="22775" xr:uid="{00000000-0005-0000-0000-0000F12E0000}"/>
    <cellStyle name="Normal GHG Numbers (0.00) 2 2 2 3" xfId="3967" xr:uid="{00000000-0005-0000-0000-0000F22E0000}"/>
    <cellStyle name="Normal GHG Numbers (0.00) 2 2 2 3 2" xfId="8016" xr:uid="{00000000-0005-0000-0000-0000F32E0000}"/>
    <cellStyle name="Normal GHG Numbers (0.00) 2 2 2 3 2 2" xfId="23809" xr:uid="{00000000-0005-0000-0000-0000F42E0000}"/>
    <cellStyle name="Normal GHG Numbers (0.00) 2 2 2 3 3" xfId="14300" xr:uid="{00000000-0005-0000-0000-0000F52E0000}"/>
    <cellStyle name="Normal GHG Numbers (0.00) 2 2 2 3 3 2" xfId="29132" xr:uid="{00000000-0005-0000-0000-0000F62E0000}"/>
    <cellStyle name="Normal GHG Numbers (0.00) 2 2 2 4" xfId="4339" xr:uid="{00000000-0005-0000-0000-0000F72E0000}"/>
    <cellStyle name="Normal GHG Numbers (0.00) 2 2 2 4 2" xfId="8378" xr:uid="{00000000-0005-0000-0000-0000F82E0000}"/>
    <cellStyle name="Normal GHG Numbers (0.00) 2 2 2 4 2 2" xfId="24037" xr:uid="{00000000-0005-0000-0000-0000F92E0000}"/>
    <cellStyle name="Normal GHG Numbers (0.00) 2 2 2 4 3" xfId="14670" xr:uid="{00000000-0005-0000-0000-0000FA2E0000}"/>
    <cellStyle name="Normal GHG Numbers (0.00) 2 2 2 4 3 2" xfId="29502" xr:uid="{00000000-0005-0000-0000-0000FB2E0000}"/>
    <cellStyle name="Normal GHG Numbers (0.00) 2 2 2 5" xfId="4865" xr:uid="{00000000-0005-0000-0000-0000FC2E0000}"/>
    <cellStyle name="Normal GHG Numbers (0.00) 2 2 2 5 2" xfId="8904" xr:uid="{00000000-0005-0000-0000-0000FD2E0000}"/>
    <cellStyle name="Normal GHG Numbers (0.00) 2 2 2 5 2 2" xfId="24370" xr:uid="{00000000-0005-0000-0000-0000FE2E0000}"/>
    <cellStyle name="Normal GHG Numbers (0.00) 2 2 2 5 3" xfId="15188" xr:uid="{00000000-0005-0000-0000-0000FF2E0000}"/>
    <cellStyle name="Normal GHG Numbers (0.00) 2 2 2 5 3 2" xfId="30020" xr:uid="{00000000-0005-0000-0000-0000002F0000}"/>
    <cellStyle name="Normal GHG Numbers (0.00) 2 2 2 6" xfId="2855" xr:uid="{00000000-0005-0000-0000-0000012F0000}"/>
    <cellStyle name="Normal GHG Numbers (0.00) 2 2 2 6 2" xfId="13193" xr:uid="{00000000-0005-0000-0000-0000022F0000}"/>
    <cellStyle name="Normal GHG Numbers (0.00) 2 2 2 6 2 2" xfId="28025" xr:uid="{00000000-0005-0000-0000-0000032F0000}"/>
    <cellStyle name="Normal GHG Numbers (0.00) 2 2 2 6 3" xfId="20781" xr:uid="{00000000-0005-0000-0000-0000042F0000}"/>
    <cellStyle name="Normal GHG Numbers (0.00) 2 2 2 7" xfId="1887" xr:uid="{00000000-0005-0000-0000-0000052F0000}"/>
    <cellStyle name="Normal GHG Numbers (0.00) 2 2 2 7 2" xfId="6018" xr:uid="{00000000-0005-0000-0000-0000062F0000}"/>
    <cellStyle name="Normal GHG Numbers (0.00) 2 2 2 7 2 2" xfId="22551" xr:uid="{00000000-0005-0000-0000-0000072F0000}"/>
    <cellStyle name="Normal GHG Numbers (0.00) 2 2 2 8" xfId="12073" xr:uid="{00000000-0005-0000-0000-0000082F0000}"/>
    <cellStyle name="Normal GHG Numbers (0.00) 2 2 2 8 2" xfId="26905" xr:uid="{00000000-0005-0000-0000-0000092F0000}"/>
    <cellStyle name="Normal GHG Numbers (0.00) 2 2 3" xfId="3666" xr:uid="{00000000-0005-0000-0000-00000A2F0000}"/>
    <cellStyle name="Normal GHG Numbers (0.00) 2 2 3 2" xfId="7724" xr:uid="{00000000-0005-0000-0000-00000B2F0000}"/>
    <cellStyle name="Normal GHG Numbers (0.00) 2 2 3 2 2" xfId="23620" xr:uid="{00000000-0005-0000-0000-00000C2F0000}"/>
    <cellStyle name="Normal GHG Numbers (0.00) 2 2 3 3" xfId="14001" xr:uid="{00000000-0005-0000-0000-00000D2F0000}"/>
    <cellStyle name="Normal GHG Numbers (0.00) 2 2 3 3 2" xfId="28833" xr:uid="{00000000-0005-0000-0000-00000E2F0000}"/>
    <cellStyle name="Normal GHG Numbers (0.00) 2 2 4" xfId="4445" xr:uid="{00000000-0005-0000-0000-00000F2F0000}"/>
    <cellStyle name="Normal GHG Numbers (0.00) 2 2 4 2" xfId="8484" xr:uid="{00000000-0005-0000-0000-0000102F0000}"/>
    <cellStyle name="Normal GHG Numbers (0.00) 2 2 4 2 2" xfId="24110" xr:uid="{00000000-0005-0000-0000-0000112F0000}"/>
    <cellStyle name="Normal GHG Numbers (0.00) 2 2 4 3" xfId="14773" xr:uid="{00000000-0005-0000-0000-0000122F0000}"/>
    <cellStyle name="Normal GHG Numbers (0.00) 2 2 4 3 2" xfId="29605" xr:uid="{00000000-0005-0000-0000-0000132F0000}"/>
    <cellStyle name="Normal GHG Numbers (0.00) 2 2 5" xfId="2435" xr:uid="{00000000-0005-0000-0000-0000142F0000}"/>
    <cellStyle name="Normal GHG Numbers (0.00) 2 2 5 2" xfId="12774" xr:uid="{00000000-0005-0000-0000-0000152F0000}"/>
    <cellStyle name="Normal GHG Numbers (0.00) 2 2 5 2 2" xfId="27606" xr:uid="{00000000-0005-0000-0000-0000162F0000}"/>
    <cellStyle name="Normal GHG Numbers (0.00) 2 2 5 3" xfId="20527" xr:uid="{00000000-0005-0000-0000-0000172F0000}"/>
    <cellStyle name="Normal GHG Numbers (0.00) 2 2 6" xfId="5559" xr:uid="{00000000-0005-0000-0000-0000182F0000}"/>
    <cellStyle name="Normal GHG Numbers (0.00) 2 2 6 2" xfId="15794" xr:uid="{00000000-0005-0000-0000-0000192F0000}"/>
    <cellStyle name="Normal GHG Numbers (0.00) 2 2 6 2 2" xfId="30626" xr:uid="{00000000-0005-0000-0000-00001A2F0000}"/>
    <cellStyle name="Normal GHG Numbers (0.00) 2 2 6 3" xfId="22255" xr:uid="{00000000-0005-0000-0000-00001B2F0000}"/>
    <cellStyle name="Normal GHG Numbers (0.00) 2 3" xfId="1555" xr:uid="{00000000-0005-0000-0000-00001C2F0000}"/>
    <cellStyle name="Normal GHG Numbers (0.00) 2 3 2" xfId="2052" xr:uid="{00000000-0005-0000-0000-00001D2F0000}"/>
    <cellStyle name="Normal GHG Numbers (0.00) 2 3 2 2" xfId="4075" xr:uid="{00000000-0005-0000-0000-00001E2F0000}"/>
    <cellStyle name="Normal GHG Numbers (0.00) 2 3 2 2 2" xfId="8121" xr:uid="{00000000-0005-0000-0000-00001F2F0000}"/>
    <cellStyle name="Normal GHG Numbers (0.00) 2 3 2 2 2 2" xfId="23872" xr:uid="{00000000-0005-0000-0000-0000202F0000}"/>
    <cellStyle name="Normal GHG Numbers (0.00) 2 3 2 2 3" xfId="14407" xr:uid="{00000000-0005-0000-0000-0000212F0000}"/>
    <cellStyle name="Normal GHG Numbers (0.00) 2 3 2 2 3 2" xfId="29239" xr:uid="{00000000-0005-0000-0000-0000222F0000}"/>
    <cellStyle name="Normal GHG Numbers (0.00) 2 3 2 3" xfId="3392" xr:uid="{00000000-0005-0000-0000-0000232F0000}"/>
    <cellStyle name="Normal GHG Numbers (0.00) 2 3 2 3 2" xfId="7455" xr:uid="{00000000-0005-0000-0000-0000242F0000}"/>
    <cellStyle name="Normal GHG Numbers (0.00) 2 3 2 3 2 2" xfId="23445" xr:uid="{00000000-0005-0000-0000-0000252F0000}"/>
    <cellStyle name="Normal GHG Numbers (0.00) 2 3 2 3 3" xfId="13729" xr:uid="{00000000-0005-0000-0000-0000262F0000}"/>
    <cellStyle name="Normal GHG Numbers (0.00) 2 3 2 3 3 2" xfId="28561" xr:uid="{00000000-0005-0000-0000-0000272F0000}"/>
    <cellStyle name="Normal GHG Numbers (0.00) 2 3 2 4" xfId="5020" xr:uid="{00000000-0005-0000-0000-0000282F0000}"/>
    <cellStyle name="Normal GHG Numbers (0.00) 2 3 2 4 2" xfId="9059" xr:uid="{00000000-0005-0000-0000-0000292F0000}"/>
    <cellStyle name="Normal GHG Numbers (0.00) 2 3 2 4 2 2" xfId="24493" xr:uid="{00000000-0005-0000-0000-00002A2F0000}"/>
    <cellStyle name="Normal GHG Numbers (0.00) 2 3 2 4 3" xfId="15341" xr:uid="{00000000-0005-0000-0000-00002B2F0000}"/>
    <cellStyle name="Normal GHG Numbers (0.00) 2 3 2 4 3 2" xfId="30173" xr:uid="{00000000-0005-0000-0000-00002C2F0000}"/>
    <cellStyle name="Normal GHG Numbers (0.00) 2 3 2 5" xfId="3010" xr:uid="{00000000-0005-0000-0000-00002D2F0000}"/>
    <cellStyle name="Normal GHG Numbers (0.00) 2 3 2 5 2" xfId="13348" xr:uid="{00000000-0005-0000-0000-00002E2F0000}"/>
    <cellStyle name="Normal GHG Numbers (0.00) 2 3 2 5 2 2" xfId="28180" xr:uid="{00000000-0005-0000-0000-00002F2F0000}"/>
    <cellStyle name="Normal GHG Numbers (0.00) 2 3 2 5 3" xfId="20904" xr:uid="{00000000-0005-0000-0000-0000302F0000}"/>
    <cellStyle name="Normal GHG Numbers (0.00) 2 3 3" xfId="3777" xr:uid="{00000000-0005-0000-0000-0000312F0000}"/>
    <cellStyle name="Normal GHG Numbers (0.00) 2 3 3 2" xfId="7832" xr:uid="{00000000-0005-0000-0000-0000322F0000}"/>
    <cellStyle name="Normal GHG Numbers (0.00) 2 3 3 2 2" xfId="23688" xr:uid="{00000000-0005-0000-0000-0000332F0000}"/>
    <cellStyle name="Normal GHG Numbers (0.00) 2 3 3 3" xfId="14112" xr:uid="{00000000-0005-0000-0000-0000342F0000}"/>
    <cellStyle name="Normal GHG Numbers (0.00) 2 3 3 3 2" xfId="28944" xr:uid="{00000000-0005-0000-0000-0000352F0000}"/>
    <cellStyle name="Normal GHG Numbers (0.00) 2 3 4" xfId="4600" xr:uid="{00000000-0005-0000-0000-0000362F0000}"/>
    <cellStyle name="Normal GHG Numbers (0.00) 2 3 4 2" xfId="8639" xr:uid="{00000000-0005-0000-0000-0000372F0000}"/>
    <cellStyle name="Normal GHG Numbers (0.00) 2 3 4 2 2" xfId="24233" xr:uid="{00000000-0005-0000-0000-0000382F0000}"/>
    <cellStyle name="Normal GHG Numbers (0.00) 2 3 4 3" xfId="14926" xr:uid="{00000000-0005-0000-0000-0000392F0000}"/>
    <cellStyle name="Normal GHG Numbers (0.00) 2 3 4 3 2" xfId="29758" xr:uid="{00000000-0005-0000-0000-00003A2F0000}"/>
    <cellStyle name="Normal GHG Numbers (0.00) 2 3 5" xfId="2590" xr:uid="{00000000-0005-0000-0000-00003B2F0000}"/>
    <cellStyle name="Normal GHG Numbers (0.00) 2 3 5 2" xfId="12928" xr:uid="{00000000-0005-0000-0000-00003C2F0000}"/>
    <cellStyle name="Normal GHG Numbers (0.00) 2 3 5 2 2" xfId="27760" xr:uid="{00000000-0005-0000-0000-00003D2F0000}"/>
    <cellStyle name="Normal GHG Numbers (0.00) 2 3 5 3" xfId="20644" xr:uid="{00000000-0005-0000-0000-00003E2F0000}"/>
    <cellStyle name="Normal GHG Numbers (0.00) 2 3 6" xfId="1700" xr:uid="{00000000-0005-0000-0000-00003F2F0000}"/>
    <cellStyle name="Normal GHG Numbers (0.00) 2 3 6 2" xfId="5832" xr:uid="{00000000-0005-0000-0000-0000402F0000}"/>
    <cellStyle name="Normal GHG Numbers (0.00) 2 3 6 2 2" xfId="22429" xr:uid="{00000000-0005-0000-0000-0000412F0000}"/>
    <cellStyle name="Normal GHG Numbers (0.00) 2 3 6 3" xfId="12094" xr:uid="{00000000-0005-0000-0000-0000422F0000}"/>
    <cellStyle name="Normal GHG Numbers (0.00) 2 3 6 3 2" xfId="26926" xr:uid="{00000000-0005-0000-0000-0000432F0000}"/>
    <cellStyle name="Normal GHG Numbers (0.00) 2 4" xfId="1608" xr:uid="{00000000-0005-0000-0000-0000442F0000}"/>
    <cellStyle name="Normal GHG Numbers (0.00) 2 4 2" xfId="2105" xr:uid="{00000000-0005-0000-0000-0000452F0000}"/>
    <cellStyle name="Normal GHG Numbers (0.00) 2 4 2 2" xfId="4115" xr:uid="{00000000-0005-0000-0000-0000462F0000}"/>
    <cellStyle name="Normal GHG Numbers (0.00) 2 4 2 2 2" xfId="8160" xr:uid="{00000000-0005-0000-0000-0000472F0000}"/>
    <cellStyle name="Normal GHG Numbers (0.00) 2 4 2 2 2 2" xfId="23898" xr:uid="{00000000-0005-0000-0000-0000482F0000}"/>
    <cellStyle name="Normal GHG Numbers (0.00) 2 4 2 2 3" xfId="14447" xr:uid="{00000000-0005-0000-0000-0000492F0000}"/>
    <cellStyle name="Normal GHG Numbers (0.00) 2 4 2 2 3 2" xfId="29279" xr:uid="{00000000-0005-0000-0000-00004A2F0000}"/>
    <cellStyle name="Normal GHG Numbers (0.00) 2 4 2 3" xfId="3797" xr:uid="{00000000-0005-0000-0000-00004B2F0000}"/>
    <cellStyle name="Normal GHG Numbers (0.00) 2 4 2 3 2" xfId="7852" xr:uid="{00000000-0005-0000-0000-00004C2F0000}"/>
    <cellStyle name="Normal GHG Numbers (0.00) 2 4 2 3 2 2" xfId="23706" xr:uid="{00000000-0005-0000-0000-00004D2F0000}"/>
    <cellStyle name="Normal GHG Numbers (0.00) 2 4 2 3 3" xfId="14132" xr:uid="{00000000-0005-0000-0000-00004E2F0000}"/>
    <cellStyle name="Normal GHG Numbers (0.00) 2 4 2 3 3 2" xfId="28964" xr:uid="{00000000-0005-0000-0000-00004F2F0000}"/>
    <cellStyle name="Normal GHG Numbers (0.00) 2 4 2 4" xfId="5073" xr:uid="{00000000-0005-0000-0000-0000502F0000}"/>
    <cellStyle name="Normal GHG Numbers (0.00) 2 4 2 4 2" xfId="9112" xr:uid="{00000000-0005-0000-0000-0000512F0000}"/>
    <cellStyle name="Normal GHG Numbers (0.00) 2 4 2 4 2 2" xfId="24514" xr:uid="{00000000-0005-0000-0000-0000522F0000}"/>
    <cellStyle name="Normal GHG Numbers (0.00) 2 4 2 4 3" xfId="15393" xr:uid="{00000000-0005-0000-0000-0000532F0000}"/>
    <cellStyle name="Normal GHG Numbers (0.00) 2 4 2 4 3 2" xfId="30225" xr:uid="{00000000-0005-0000-0000-0000542F0000}"/>
    <cellStyle name="Normal GHG Numbers (0.00) 2 4 2 5" xfId="3063" xr:uid="{00000000-0005-0000-0000-0000552F0000}"/>
    <cellStyle name="Normal GHG Numbers (0.00) 2 4 2 5 2" xfId="13401" xr:uid="{00000000-0005-0000-0000-0000562F0000}"/>
    <cellStyle name="Normal GHG Numbers (0.00) 2 4 2 5 2 2" xfId="28233" xr:uid="{00000000-0005-0000-0000-0000572F0000}"/>
    <cellStyle name="Normal GHG Numbers (0.00) 2 4 2 5 3" xfId="20925" xr:uid="{00000000-0005-0000-0000-0000582F0000}"/>
    <cellStyle name="Normal GHG Numbers (0.00) 2 4 3" xfId="3815" xr:uid="{00000000-0005-0000-0000-0000592F0000}"/>
    <cellStyle name="Normal GHG Numbers (0.00) 2 4 3 2" xfId="7868" xr:uid="{00000000-0005-0000-0000-00005A2F0000}"/>
    <cellStyle name="Normal GHG Numbers (0.00) 2 4 3 2 2" xfId="23715" xr:uid="{00000000-0005-0000-0000-00005B2F0000}"/>
    <cellStyle name="Normal GHG Numbers (0.00) 2 4 3 3" xfId="14150" xr:uid="{00000000-0005-0000-0000-00005C2F0000}"/>
    <cellStyle name="Normal GHG Numbers (0.00) 2 4 3 3 2" xfId="28982" xr:uid="{00000000-0005-0000-0000-00005D2F0000}"/>
    <cellStyle name="Normal GHG Numbers (0.00) 2 4 4" xfId="4653" xr:uid="{00000000-0005-0000-0000-00005E2F0000}"/>
    <cellStyle name="Normal GHG Numbers (0.00) 2 4 4 2" xfId="8692" xr:uid="{00000000-0005-0000-0000-00005F2F0000}"/>
    <cellStyle name="Normal GHG Numbers (0.00) 2 4 4 2 2" xfId="24254" xr:uid="{00000000-0005-0000-0000-0000602F0000}"/>
    <cellStyle name="Normal GHG Numbers (0.00) 2 4 4 3" xfId="14978" xr:uid="{00000000-0005-0000-0000-0000612F0000}"/>
    <cellStyle name="Normal GHG Numbers (0.00) 2 4 4 3 2" xfId="29810" xr:uid="{00000000-0005-0000-0000-0000622F0000}"/>
    <cellStyle name="Normal GHG Numbers (0.00) 2 4 5" xfId="2643" xr:uid="{00000000-0005-0000-0000-0000632F0000}"/>
    <cellStyle name="Normal GHG Numbers (0.00) 2 4 5 2" xfId="12981" xr:uid="{00000000-0005-0000-0000-0000642F0000}"/>
    <cellStyle name="Normal GHG Numbers (0.00) 2 4 5 2 2" xfId="27813" xr:uid="{00000000-0005-0000-0000-0000652F0000}"/>
    <cellStyle name="Normal GHG Numbers (0.00) 2 4 5 3" xfId="20665" xr:uid="{00000000-0005-0000-0000-0000662F0000}"/>
    <cellStyle name="Normal GHG Numbers (0.00) 2 4 6" xfId="1705" xr:uid="{00000000-0005-0000-0000-0000672F0000}"/>
    <cellStyle name="Normal GHG Numbers (0.00) 2 4 6 2" xfId="5837" xr:uid="{00000000-0005-0000-0000-0000682F0000}"/>
    <cellStyle name="Normal GHG Numbers (0.00) 2 4 6 2 2" xfId="22434" xr:uid="{00000000-0005-0000-0000-0000692F0000}"/>
    <cellStyle name="Normal GHG Numbers (0.00) 2 4 6 3" xfId="12099" xr:uid="{00000000-0005-0000-0000-00006A2F0000}"/>
    <cellStyle name="Normal GHG Numbers (0.00) 2 4 6 3 2" xfId="26931" xr:uid="{00000000-0005-0000-0000-00006B2F0000}"/>
    <cellStyle name="Normal GHG Numbers (0.00) 2 5" xfId="1658" xr:uid="{00000000-0005-0000-0000-00006C2F0000}"/>
    <cellStyle name="Normal GHG Numbers (0.00) 2 5 2" xfId="2155" xr:uid="{00000000-0005-0000-0000-00006D2F0000}"/>
    <cellStyle name="Normal GHG Numbers (0.00) 2 5 2 2" xfId="4153" xr:uid="{00000000-0005-0000-0000-00006E2F0000}"/>
    <cellStyle name="Normal GHG Numbers (0.00) 2 5 2 2 2" xfId="8195" xr:uid="{00000000-0005-0000-0000-00006F2F0000}"/>
    <cellStyle name="Normal GHG Numbers (0.00) 2 5 2 2 2 2" xfId="23922" xr:uid="{00000000-0005-0000-0000-0000702F0000}"/>
    <cellStyle name="Normal GHG Numbers (0.00) 2 5 2 2 3" xfId="14485" xr:uid="{00000000-0005-0000-0000-0000712F0000}"/>
    <cellStyle name="Normal GHG Numbers (0.00) 2 5 2 2 3 2" xfId="29317" xr:uid="{00000000-0005-0000-0000-0000722F0000}"/>
    <cellStyle name="Normal GHG Numbers (0.00) 2 5 2 3" xfId="3846" xr:uid="{00000000-0005-0000-0000-0000732F0000}"/>
    <cellStyle name="Normal GHG Numbers (0.00) 2 5 2 3 2" xfId="7899" xr:uid="{00000000-0005-0000-0000-0000742F0000}"/>
    <cellStyle name="Normal GHG Numbers (0.00) 2 5 2 3 2 2" xfId="23736" xr:uid="{00000000-0005-0000-0000-0000752F0000}"/>
    <cellStyle name="Normal GHG Numbers (0.00) 2 5 2 3 3" xfId="14181" xr:uid="{00000000-0005-0000-0000-0000762F0000}"/>
    <cellStyle name="Normal GHG Numbers (0.00) 2 5 2 3 3 2" xfId="29013" xr:uid="{00000000-0005-0000-0000-0000772F0000}"/>
    <cellStyle name="Normal GHG Numbers (0.00) 2 5 2 4" xfId="5123" xr:uid="{00000000-0005-0000-0000-0000782F0000}"/>
    <cellStyle name="Normal GHG Numbers (0.00) 2 5 2 4 2" xfId="9162" xr:uid="{00000000-0005-0000-0000-0000792F0000}"/>
    <cellStyle name="Normal GHG Numbers (0.00) 2 5 2 4 2 2" xfId="24532" xr:uid="{00000000-0005-0000-0000-00007A2F0000}"/>
    <cellStyle name="Normal GHG Numbers (0.00) 2 5 2 4 3" xfId="15442" xr:uid="{00000000-0005-0000-0000-00007B2F0000}"/>
    <cellStyle name="Normal GHG Numbers (0.00) 2 5 2 4 3 2" xfId="30274" xr:uid="{00000000-0005-0000-0000-00007C2F0000}"/>
    <cellStyle name="Normal GHG Numbers (0.00) 2 5 2 5" xfId="3113" xr:uid="{00000000-0005-0000-0000-00007D2F0000}"/>
    <cellStyle name="Normal GHG Numbers (0.00) 2 5 2 5 2" xfId="13451" xr:uid="{00000000-0005-0000-0000-00007E2F0000}"/>
    <cellStyle name="Normal GHG Numbers (0.00) 2 5 2 5 2 2" xfId="28283" xr:uid="{00000000-0005-0000-0000-00007F2F0000}"/>
    <cellStyle name="Normal GHG Numbers (0.00) 2 5 2 5 3" xfId="20943" xr:uid="{00000000-0005-0000-0000-0000802F0000}"/>
    <cellStyle name="Normal GHG Numbers (0.00) 2 5 3" xfId="3853" xr:uid="{00000000-0005-0000-0000-0000812F0000}"/>
    <cellStyle name="Normal GHG Numbers (0.00) 2 5 3 2" xfId="7905" xr:uid="{00000000-0005-0000-0000-0000822F0000}"/>
    <cellStyle name="Normal GHG Numbers (0.00) 2 5 3 2 2" xfId="23741" xr:uid="{00000000-0005-0000-0000-0000832F0000}"/>
    <cellStyle name="Normal GHG Numbers (0.00) 2 5 3 3" xfId="14188" xr:uid="{00000000-0005-0000-0000-0000842F0000}"/>
    <cellStyle name="Normal GHG Numbers (0.00) 2 5 3 3 2" xfId="29020" xr:uid="{00000000-0005-0000-0000-0000852F0000}"/>
    <cellStyle name="Normal GHG Numbers (0.00) 2 5 4" xfId="4703" xr:uid="{00000000-0005-0000-0000-0000862F0000}"/>
    <cellStyle name="Normal GHG Numbers (0.00) 2 5 4 2" xfId="8742" xr:uid="{00000000-0005-0000-0000-0000872F0000}"/>
    <cellStyle name="Normal GHG Numbers (0.00) 2 5 4 2 2" xfId="24272" xr:uid="{00000000-0005-0000-0000-0000882F0000}"/>
    <cellStyle name="Normal GHG Numbers (0.00) 2 5 4 3" xfId="15027" xr:uid="{00000000-0005-0000-0000-0000892F0000}"/>
    <cellStyle name="Normal GHG Numbers (0.00) 2 5 4 3 2" xfId="29859" xr:uid="{00000000-0005-0000-0000-00008A2F0000}"/>
    <cellStyle name="Normal GHG Numbers (0.00) 2 5 5" xfId="2693" xr:uid="{00000000-0005-0000-0000-00008B2F0000}"/>
    <cellStyle name="Normal GHG Numbers (0.00) 2 5 5 2" xfId="13031" xr:uid="{00000000-0005-0000-0000-00008C2F0000}"/>
    <cellStyle name="Normal GHG Numbers (0.00) 2 5 5 2 2" xfId="27863" xr:uid="{00000000-0005-0000-0000-00008D2F0000}"/>
    <cellStyle name="Normal GHG Numbers (0.00) 2 5 5 3" xfId="20683" xr:uid="{00000000-0005-0000-0000-00008E2F0000}"/>
    <cellStyle name="Normal GHG Numbers (0.00) 2 5 6" xfId="1710" xr:uid="{00000000-0005-0000-0000-00008F2F0000}"/>
    <cellStyle name="Normal GHG Numbers (0.00) 2 5 6 2" xfId="5842" xr:uid="{00000000-0005-0000-0000-0000902F0000}"/>
    <cellStyle name="Normal GHG Numbers (0.00) 2 5 6 2 2" xfId="22439" xr:uid="{00000000-0005-0000-0000-0000912F0000}"/>
    <cellStyle name="Normal GHG Numbers (0.00) 2 5 6 3" xfId="12104" xr:uid="{00000000-0005-0000-0000-0000922F0000}"/>
    <cellStyle name="Normal GHG Numbers (0.00) 2 5 6 3 2" xfId="26936" xr:uid="{00000000-0005-0000-0000-0000932F0000}"/>
    <cellStyle name="Normal GHG Numbers (0.00) 2 6" xfId="1668" xr:uid="{00000000-0005-0000-0000-0000942F0000}"/>
    <cellStyle name="Normal GHG Numbers (0.00) 2 6 2" xfId="4355" xr:uid="{00000000-0005-0000-0000-0000952F0000}"/>
    <cellStyle name="Normal GHG Numbers (0.00) 2 6 2 2" xfId="8394" xr:uid="{00000000-0005-0000-0000-0000962F0000}"/>
    <cellStyle name="Normal GHG Numbers (0.00) 2 6 2 2 2" xfId="24052" xr:uid="{00000000-0005-0000-0000-0000972F0000}"/>
    <cellStyle name="Normal GHG Numbers (0.00) 2 6 2 3" xfId="14684" xr:uid="{00000000-0005-0000-0000-0000982F0000}"/>
    <cellStyle name="Normal GHG Numbers (0.00) 2 6 2 3 2" xfId="29516" xr:uid="{00000000-0005-0000-0000-0000992F0000}"/>
    <cellStyle name="Normal GHG Numbers (0.00) 2 6 3" xfId="5219" xr:uid="{00000000-0005-0000-0000-00009A2F0000}"/>
    <cellStyle name="Normal GHG Numbers (0.00) 2 6 3 2" xfId="9258" xr:uid="{00000000-0005-0000-0000-00009B2F0000}"/>
    <cellStyle name="Normal GHG Numbers (0.00) 2 6 3 2 2" xfId="24596" xr:uid="{00000000-0005-0000-0000-00009C2F0000}"/>
    <cellStyle name="Normal GHG Numbers (0.00) 2 6 3 3" xfId="15535" xr:uid="{00000000-0005-0000-0000-00009D2F0000}"/>
    <cellStyle name="Normal GHG Numbers (0.00) 2 6 3 3 2" xfId="30367" xr:uid="{00000000-0005-0000-0000-00009E2F0000}"/>
    <cellStyle name="Normal GHG Numbers (0.00) 2 6 4" xfId="4249" xr:uid="{00000000-0005-0000-0000-00009F2F0000}"/>
    <cellStyle name="Normal GHG Numbers (0.00) 2 6 4 2" xfId="8288" xr:uid="{00000000-0005-0000-0000-0000A02F0000}"/>
    <cellStyle name="Normal GHG Numbers (0.00) 2 6 4 2 2" xfId="23983" xr:uid="{00000000-0005-0000-0000-0000A12F0000}"/>
    <cellStyle name="Normal GHG Numbers (0.00) 2 6 4 3" xfId="14581" xr:uid="{00000000-0005-0000-0000-0000A22F0000}"/>
    <cellStyle name="Normal GHG Numbers (0.00) 2 6 4 3 2" xfId="29413" xr:uid="{00000000-0005-0000-0000-0000A32F0000}"/>
    <cellStyle name="Normal GHG Numbers (0.00) 2 6 5" xfId="2251" xr:uid="{00000000-0005-0000-0000-0000A42F0000}"/>
    <cellStyle name="Normal GHG Numbers (0.00) 2 6 5 2" xfId="6363" xr:uid="{00000000-0005-0000-0000-0000A52F0000}"/>
    <cellStyle name="Normal GHG Numbers (0.00) 2 6 5 2 2" xfId="22765" xr:uid="{00000000-0005-0000-0000-0000A62F0000}"/>
    <cellStyle name="Normal GHG Numbers (0.00) 2 6 6" xfId="5810" xr:uid="{00000000-0005-0000-0000-0000A72F0000}"/>
    <cellStyle name="Normal GHG Numbers (0.00) 2 6 6 2" xfId="22408" xr:uid="{00000000-0005-0000-0000-0000A82F0000}"/>
    <cellStyle name="Normal GHG Numbers (0.00) 2 6 7" xfId="12063" xr:uid="{00000000-0005-0000-0000-0000A92F0000}"/>
    <cellStyle name="Normal GHG Numbers (0.00) 2 6 7 2" xfId="26895" xr:uid="{00000000-0005-0000-0000-0000AA2F0000}"/>
    <cellStyle name="Normal GHG Numbers (0.00) 2 7" xfId="3615" xr:uid="{00000000-0005-0000-0000-0000AB2F0000}"/>
    <cellStyle name="Normal GHG Numbers (0.00) 2 7 2" xfId="7675" xr:uid="{00000000-0005-0000-0000-0000AC2F0000}"/>
    <cellStyle name="Normal GHG Numbers (0.00) 2 7 2 2" xfId="23585" xr:uid="{00000000-0005-0000-0000-0000AD2F0000}"/>
    <cellStyle name="Normal GHG Numbers (0.00) 2 7 3" xfId="13950" xr:uid="{00000000-0005-0000-0000-0000AE2F0000}"/>
    <cellStyle name="Normal GHG Numbers (0.00) 2 7 3 2" xfId="28782" xr:uid="{00000000-0005-0000-0000-0000AF2F0000}"/>
    <cellStyle name="Normal GHG Numbers (0.00) 2 8" xfId="3366" xr:uid="{00000000-0005-0000-0000-0000B02F0000}"/>
    <cellStyle name="Normal GHG Numbers (0.00) 2 8 2" xfId="7429" xr:uid="{00000000-0005-0000-0000-0000B12F0000}"/>
    <cellStyle name="Normal GHG Numbers (0.00) 2 8 2 2" xfId="23430" xr:uid="{00000000-0005-0000-0000-0000B22F0000}"/>
    <cellStyle name="Normal GHG Numbers (0.00) 2 8 3" xfId="13703" xr:uid="{00000000-0005-0000-0000-0000B32F0000}"/>
    <cellStyle name="Normal GHG Numbers (0.00) 2 8 3 2" xfId="28535" xr:uid="{00000000-0005-0000-0000-0000B42F0000}"/>
    <cellStyle name="Normal GHG Numbers (0.00) 2 9" xfId="2351" xr:uid="{00000000-0005-0000-0000-0000B52F0000}"/>
    <cellStyle name="Normal GHG Numbers (0.00) 2 9 2" xfId="6463" xr:uid="{00000000-0005-0000-0000-0000B62F0000}"/>
    <cellStyle name="Normal GHG Numbers (0.00) 2 9 2 2" xfId="22833" xr:uid="{00000000-0005-0000-0000-0000B72F0000}"/>
    <cellStyle name="Normal GHG Numbers (0.00) 2 9 3" xfId="12690" xr:uid="{00000000-0005-0000-0000-0000B82F0000}"/>
    <cellStyle name="Normal GHG Numbers (0.00) 2 9 3 2" xfId="27522" xr:uid="{00000000-0005-0000-0000-0000B92F0000}"/>
    <cellStyle name="Normal GHG Numbers (0.00) 3" xfId="1498" xr:uid="{00000000-0005-0000-0000-0000BA2F0000}"/>
    <cellStyle name="Normal GHG Numbers (0.00) 3 2" xfId="1673" xr:uid="{00000000-0005-0000-0000-0000BB2F0000}"/>
    <cellStyle name="Normal GHG Numbers (0.00) 3 2 2" xfId="2256" xr:uid="{00000000-0005-0000-0000-0000BC2F0000}"/>
    <cellStyle name="Normal GHG Numbers (0.00) 3 2 2 2" xfId="4360" xr:uid="{00000000-0005-0000-0000-0000BD2F0000}"/>
    <cellStyle name="Normal GHG Numbers (0.00) 3 2 2 2 2" xfId="8399" xr:uid="{00000000-0005-0000-0000-0000BE2F0000}"/>
    <cellStyle name="Normal GHG Numbers (0.00) 3 2 2 2 2 2" xfId="24057" xr:uid="{00000000-0005-0000-0000-0000BF2F0000}"/>
    <cellStyle name="Normal GHG Numbers (0.00) 3 2 2 2 3" xfId="14689" xr:uid="{00000000-0005-0000-0000-0000C02F0000}"/>
    <cellStyle name="Normal GHG Numbers (0.00) 3 2 2 2 3 2" xfId="29521" xr:uid="{00000000-0005-0000-0000-0000C12F0000}"/>
    <cellStyle name="Normal GHG Numbers (0.00) 3 2 2 3" xfId="5224" xr:uid="{00000000-0005-0000-0000-0000C22F0000}"/>
    <cellStyle name="Normal GHG Numbers (0.00) 3 2 2 3 2" xfId="9263" xr:uid="{00000000-0005-0000-0000-0000C32F0000}"/>
    <cellStyle name="Normal GHG Numbers (0.00) 3 2 2 3 2 2" xfId="24601" xr:uid="{00000000-0005-0000-0000-0000C42F0000}"/>
    <cellStyle name="Normal GHG Numbers (0.00) 3 2 2 3 3" xfId="15540" xr:uid="{00000000-0005-0000-0000-0000C52F0000}"/>
    <cellStyle name="Normal GHG Numbers (0.00) 3 2 2 3 3 2" xfId="30372" xr:uid="{00000000-0005-0000-0000-0000C62F0000}"/>
    <cellStyle name="Normal GHG Numbers (0.00) 3 2 2 4" xfId="4254" xr:uid="{00000000-0005-0000-0000-0000C72F0000}"/>
    <cellStyle name="Normal GHG Numbers (0.00) 3 2 2 4 2" xfId="8293" xr:uid="{00000000-0005-0000-0000-0000C82F0000}"/>
    <cellStyle name="Normal GHG Numbers (0.00) 3 2 2 4 2 2" xfId="23988" xr:uid="{00000000-0005-0000-0000-0000C92F0000}"/>
    <cellStyle name="Normal GHG Numbers (0.00) 3 2 2 4 3" xfId="14586" xr:uid="{00000000-0005-0000-0000-0000CA2F0000}"/>
    <cellStyle name="Normal GHG Numbers (0.00) 3 2 2 4 3 2" xfId="29418" xr:uid="{00000000-0005-0000-0000-0000CB2F0000}"/>
    <cellStyle name="Normal GHG Numbers (0.00) 3 2 2 5" xfId="6368" xr:uid="{00000000-0005-0000-0000-0000CC2F0000}"/>
    <cellStyle name="Normal GHG Numbers (0.00) 3 2 2 5 2" xfId="22770" xr:uid="{00000000-0005-0000-0000-0000CD2F0000}"/>
    <cellStyle name="Normal GHG Numbers (0.00) 3 2 3" xfId="4030" xr:uid="{00000000-0005-0000-0000-0000CE2F0000}"/>
    <cellStyle name="Normal GHG Numbers (0.00) 3 2 3 2" xfId="8077" xr:uid="{00000000-0005-0000-0000-0000CF2F0000}"/>
    <cellStyle name="Normal GHG Numbers (0.00) 3 2 3 2 2" xfId="23846" xr:uid="{00000000-0005-0000-0000-0000D02F0000}"/>
    <cellStyle name="Normal GHG Numbers (0.00) 3 2 3 3" xfId="14362" xr:uid="{00000000-0005-0000-0000-0000D12F0000}"/>
    <cellStyle name="Normal GHG Numbers (0.00) 3 2 3 3 2" xfId="29194" xr:uid="{00000000-0005-0000-0000-0000D22F0000}"/>
    <cellStyle name="Normal GHG Numbers (0.00) 3 2 4" xfId="3599" xr:uid="{00000000-0005-0000-0000-0000D32F0000}"/>
    <cellStyle name="Normal GHG Numbers (0.00) 3 2 4 2" xfId="13935" xr:uid="{00000000-0005-0000-0000-0000D42F0000}"/>
    <cellStyle name="Normal GHG Numbers (0.00) 3 2 4 2 2" xfId="28767" xr:uid="{00000000-0005-0000-0000-0000D52F0000}"/>
    <cellStyle name="Normal GHG Numbers (0.00) 3 2 4 3" xfId="21244" xr:uid="{00000000-0005-0000-0000-0000D62F0000}"/>
    <cellStyle name="Normal GHG Numbers (0.00) 3 2 5" xfId="4963" xr:uid="{00000000-0005-0000-0000-0000D72F0000}"/>
    <cellStyle name="Normal GHG Numbers (0.00) 3 2 5 2" xfId="9002" xr:uid="{00000000-0005-0000-0000-0000D82F0000}"/>
    <cellStyle name="Normal GHG Numbers (0.00) 3 2 5 2 2" xfId="24468" xr:uid="{00000000-0005-0000-0000-0000D92F0000}"/>
    <cellStyle name="Normal GHG Numbers (0.00) 3 2 5 3" xfId="15285" xr:uid="{00000000-0005-0000-0000-0000DA2F0000}"/>
    <cellStyle name="Normal GHG Numbers (0.00) 3 2 5 3 2" xfId="30117" xr:uid="{00000000-0005-0000-0000-0000DB2F0000}"/>
    <cellStyle name="Normal GHG Numbers (0.00) 3 2 6" xfId="2953" xr:uid="{00000000-0005-0000-0000-0000DC2F0000}"/>
    <cellStyle name="Normal GHG Numbers (0.00) 3 2 6 2" xfId="13291" xr:uid="{00000000-0005-0000-0000-0000DD2F0000}"/>
    <cellStyle name="Normal GHG Numbers (0.00) 3 2 6 2 2" xfId="28123" xr:uid="{00000000-0005-0000-0000-0000DE2F0000}"/>
    <cellStyle name="Normal GHG Numbers (0.00) 3 2 6 3" xfId="20879" xr:uid="{00000000-0005-0000-0000-0000DF2F0000}"/>
    <cellStyle name="Normal GHG Numbers (0.00) 3 2 7" xfId="12068" xr:uid="{00000000-0005-0000-0000-0000E02F0000}"/>
    <cellStyle name="Normal GHG Numbers (0.00) 3 2 7 2" xfId="26900" xr:uid="{00000000-0005-0000-0000-0000E12F0000}"/>
    <cellStyle name="Normal GHG Numbers (0.00) 3 3" xfId="2241" xr:uid="{00000000-0005-0000-0000-0000E22F0000}"/>
    <cellStyle name="Normal GHG Numbers (0.00) 3 3 2" xfId="4345" xr:uid="{00000000-0005-0000-0000-0000E32F0000}"/>
    <cellStyle name="Normal GHG Numbers (0.00) 3 3 2 2" xfId="8384" xr:uid="{00000000-0005-0000-0000-0000E42F0000}"/>
    <cellStyle name="Normal GHG Numbers (0.00) 3 3 2 2 2" xfId="24042" xr:uid="{00000000-0005-0000-0000-0000E52F0000}"/>
    <cellStyle name="Normal GHG Numbers (0.00) 3 3 2 3" xfId="14674" xr:uid="{00000000-0005-0000-0000-0000E62F0000}"/>
    <cellStyle name="Normal GHG Numbers (0.00) 3 3 2 3 2" xfId="29506" xr:uid="{00000000-0005-0000-0000-0000E72F0000}"/>
    <cellStyle name="Normal GHG Numbers (0.00) 3 3 3" xfId="5209" xr:uid="{00000000-0005-0000-0000-0000E82F0000}"/>
    <cellStyle name="Normal GHG Numbers (0.00) 3 3 3 2" xfId="9248" xr:uid="{00000000-0005-0000-0000-0000E92F0000}"/>
    <cellStyle name="Normal GHG Numbers (0.00) 3 3 3 2 2" xfId="24586" xr:uid="{00000000-0005-0000-0000-0000EA2F0000}"/>
    <cellStyle name="Normal GHG Numbers (0.00) 3 3 3 3" xfId="15525" xr:uid="{00000000-0005-0000-0000-0000EB2F0000}"/>
    <cellStyle name="Normal GHG Numbers (0.00) 3 3 3 3 2" xfId="30357" xr:uid="{00000000-0005-0000-0000-0000EC2F0000}"/>
    <cellStyle name="Normal GHG Numbers (0.00) 3 3 4" xfId="4239" xr:uid="{00000000-0005-0000-0000-0000ED2F0000}"/>
    <cellStyle name="Normal GHG Numbers (0.00) 3 3 4 2" xfId="8278" xr:uid="{00000000-0005-0000-0000-0000EE2F0000}"/>
    <cellStyle name="Normal GHG Numbers (0.00) 3 3 4 2 2" xfId="23973" xr:uid="{00000000-0005-0000-0000-0000EF2F0000}"/>
    <cellStyle name="Normal GHG Numbers (0.00) 3 3 4 3" xfId="14571" xr:uid="{00000000-0005-0000-0000-0000F02F0000}"/>
    <cellStyle name="Normal GHG Numbers (0.00) 3 3 4 3 2" xfId="29403" xr:uid="{00000000-0005-0000-0000-0000F12F0000}"/>
    <cellStyle name="Normal GHG Numbers (0.00) 3 3 5" xfId="6353" xr:uid="{00000000-0005-0000-0000-0000F22F0000}"/>
    <cellStyle name="Normal GHG Numbers (0.00) 3 3 5 2" xfId="22755" xr:uid="{00000000-0005-0000-0000-0000F32F0000}"/>
    <cellStyle name="Normal GHG Numbers (0.00) 3 4" xfId="3734" xr:uid="{00000000-0005-0000-0000-0000F42F0000}"/>
    <cellStyle name="Normal GHG Numbers (0.00) 3 4 2" xfId="7790" xr:uid="{00000000-0005-0000-0000-0000F52F0000}"/>
    <cellStyle name="Normal GHG Numbers (0.00) 3 4 2 2" xfId="23664" xr:uid="{00000000-0005-0000-0000-0000F62F0000}"/>
    <cellStyle name="Normal GHG Numbers (0.00) 3 4 3" xfId="14069" xr:uid="{00000000-0005-0000-0000-0000F72F0000}"/>
    <cellStyle name="Normal GHG Numbers (0.00) 3 4 3 2" xfId="28901" xr:uid="{00000000-0005-0000-0000-0000F82F0000}"/>
    <cellStyle name="Normal GHG Numbers (0.00) 3 5" xfId="3878" xr:uid="{00000000-0005-0000-0000-0000F92F0000}"/>
    <cellStyle name="Normal GHG Numbers (0.00) 3 5 2" xfId="14213" xr:uid="{00000000-0005-0000-0000-0000FA2F0000}"/>
    <cellStyle name="Normal GHG Numbers (0.00) 3 5 2 2" xfId="29045" xr:uid="{00000000-0005-0000-0000-0000FB2F0000}"/>
    <cellStyle name="Normal GHG Numbers (0.00) 3 5 3" xfId="21399" xr:uid="{00000000-0005-0000-0000-0000FC2F0000}"/>
    <cellStyle name="Normal GHG Numbers (0.00) 3 6" xfId="4543" xr:uid="{00000000-0005-0000-0000-0000FD2F0000}"/>
    <cellStyle name="Normal GHG Numbers (0.00) 3 6 2" xfId="8582" xr:uid="{00000000-0005-0000-0000-0000FE2F0000}"/>
    <cellStyle name="Normal GHG Numbers (0.00) 3 6 2 2" xfId="24208" xr:uid="{00000000-0005-0000-0000-0000FF2F0000}"/>
    <cellStyle name="Normal GHG Numbers (0.00) 3 6 3" xfId="14870" xr:uid="{00000000-0005-0000-0000-000000300000}"/>
    <cellStyle name="Normal GHG Numbers (0.00) 3 6 3 2" xfId="29702" xr:uid="{00000000-0005-0000-0000-000001300000}"/>
    <cellStyle name="Normal GHG Numbers (0.00) 3 7" xfId="2533" xr:uid="{00000000-0005-0000-0000-000002300000}"/>
    <cellStyle name="Normal GHG Numbers (0.00) 3 7 2" xfId="6639" xr:uid="{00000000-0005-0000-0000-000003300000}"/>
    <cellStyle name="Normal GHG Numbers (0.00) 3 7 2 2" xfId="22977" xr:uid="{00000000-0005-0000-0000-000004300000}"/>
    <cellStyle name="Normal GHG Numbers (0.00) 3 7 3" xfId="12871" xr:uid="{00000000-0005-0000-0000-000005300000}"/>
    <cellStyle name="Normal GHG Numbers (0.00) 3 7 3 2" xfId="27703" xr:uid="{00000000-0005-0000-0000-000006300000}"/>
    <cellStyle name="Normal GHG Numbers (0.00) 3 8" xfId="1695" xr:uid="{00000000-0005-0000-0000-000007300000}"/>
    <cellStyle name="Normal GHG Numbers (0.00) 3 8 2" xfId="5827" xr:uid="{00000000-0005-0000-0000-000008300000}"/>
    <cellStyle name="Normal GHG Numbers (0.00) 3 8 2 2" xfId="22424" xr:uid="{00000000-0005-0000-0000-000009300000}"/>
    <cellStyle name="Normal GHG Numbers (0.00) 3 8 3" xfId="12089" xr:uid="{00000000-0005-0000-0000-00000A300000}"/>
    <cellStyle name="Normal GHG Numbers (0.00) 3 8 3 2" xfId="26921" xr:uid="{00000000-0005-0000-0000-00000B300000}"/>
    <cellStyle name="Normal GHG Numbers (0.00) 3 9" xfId="5656" xr:uid="{00000000-0005-0000-0000-00000C300000}"/>
    <cellStyle name="Normal GHG Numbers (0.00) 3 9 2" xfId="15891" xr:uid="{00000000-0005-0000-0000-00000D300000}"/>
    <cellStyle name="Normal GHG Numbers (0.00) 3 9 2 2" xfId="30723" xr:uid="{00000000-0005-0000-0000-00000E300000}"/>
    <cellStyle name="Normal GHG Numbers (0.00) 3 9 3" xfId="22352" xr:uid="{00000000-0005-0000-0000-00000F300000}"/>
    <cellStyle name="Normal GHG Numbers (0.00) 4" xfId="1663" xr:uid="{00000000-0005-0000-0000-000010300000}"/>
    <cellStyle name="Normal GHG Numbers (0.00) 4 2" xfId="4350" xr:uid="{00000000-0005-0000-0000-000011300000}"/>
    <cellStyle name="Normal GHG Numbers (0.00) 4 2 2" xfId="8389" xr:uid="{00000000-0005-0000-0000-000012300000}"/>
    <cellStyle name="Normal GHG Numbers (0.00) 4 2 2 2" xfId="24047" xr:uid="{00000000-0005-0000-0000-000013300000}"/>
    <cellStyle name="Normal GHG Numbers (0.00) 4 2 3" xfId="14679" xr:uid="{00000000-0005-0000-0000-000014300000}"/>
    <cellStyle name="Normal GHG Numbers (0.00) 4 2 3 2" xfId="29511" xr:uid="{00000000-0005-0000-0000-000015300000}"/>
    <cellStyle name="Normal GHG Numbers (0.00) 4 3" xfId="5214" xr:uid="{00000000-0005-0000-0000-000016300000}"/>
    <cellStyle name="Normal GHG Numbers (0.00) 4 3 2" xfId="9253" xr:uid="{00000000-0005-0000-0000-000017300000}"/>
    <cellStyle name="Normal GHG Numbers (0.00) 4 3 2 2" xfId="24591" xr:uid="{00000000-0005-0000-0000-000018300000}"/>
    <cellStyle name="Normal GHG Numbers (0.00) 4 3 3" xfId="15530" xr:uid="{00000000-0005-0000-0000-000019300000}"/>
    <cellStyle name="Normal GHG Numbers (0.00) 4 3 3 2" xfId="30362" xr:uid="{00000000-0005-0000-0000-00001A300000}"/>
    <cellStyle name="Normal GHG Numbers (0.00) 4 4" xfId="4244" xr:uid="{00000000-0005-0000-0000-00001B300000}"/>
    <cellStyle name="Normal GHG Numbers (0.00) 4 4 2" xfId="8283" xr:uid="{00000000-0005-0000-0000-00001C300000}"/>
    <cellStyle name="Normal GHG Numbers (0.00) 4 4 2 2" xfId="23978" xr:uid="{00000000-0005-0000-0000-00001D300000}"/>
    <cellStyle name="Normal GHG Numbers (0.00) 4 4 3" xfId="14576" xr:uid="{00000000-0005-0000-0000-00001E300000}"/>
    <cellStyle name="Normal GHG Numbers (0.00) 4 4 3 2" xfId="29408" xr:uid="{00000000-0005-0000-0000-00001F300000}"/>
    <cellStyle name="Normal GHG Numbers (0.00) 4 5" xfId="2246" xr:uid="{00000000-0005-0000-0000-000020300000}"/>
    <cellStyle name="Normal GHG Numbers (0.00) 4 5 2" xfId="6358" xr:uid="{00000000-0005-0000-0000-000021300000}"/>
    <cellStyle name="Normal GHG Numbers (0.00) 4 5 2 2" xfId="22760" xr:uid="{00000000-0005-0000-0000-000022300000}"/>
    <cellStyle name="Normal GHG Numbers (0.00) 4 6" xfId="5805" xr:uid="{00000000-0005-0000-0000-000023300000}"/>
    <cellStyle name="Normal GHG Numbers (0.00) 4 6 2" xfId="22403" xr:uid="{00000000-0005-0000-0000-000024300000}"/>
    <cellStyle name="Normal GHG Numbers (0.00) 4 7" xfId="12058" xr:uid="{00000000-0005-0000-0000-000025300000}"/>
    <cellStyle name="Normal GHG Numbers (0.00) 4 7 2" xfId="26890" xr:uid="{00000000-0005-0000-0000-000026300000}"/>
    <cellStyle name="Normal GHG Numbers (0.00) 5" xfId="3549" xr:uid="{00000000-0005-0000-0000-000027300000}"/>
    <cellStyle name="Normal GHG Numbers (0.00) 5 2" xfId="7611" xr:uid="{00000000-0005-0000-0000-000028300000}"/>
    <cellStyle name="Normal GHG Numbers (0.00) 5 2 2" xfId="23546" xr:uid="{00000000-0005-0000-0000-000029300000}"/>
    <cellStyle name="Normal GHG Numbers (0.00) 5 3" xfId="13885" xr:uid="{00000000-0005-0000-0000-00002A300000}"/>
    <cellStyle name="Normal GHG Numbers (0.00) 5 3 2" xfId="28717" xr:uid="{00000000-0005-0000-0000-00002B300000}"/>
    <cellStyle name="Normal GHG Numbers (0.00) 6" xfId="3353" xr:uid="{00000000-0005-0000-0000-00002C300000}"/>
    <cellStyle name="Normal GHG Numbers (0.00) 6 2" xfId="7416" xr:uid="{00000000-0005-0000-0000-00002D300000}"/>
    <cellStyle name="Normal GHG Numbers (0.00) 6 2 2" xfId="23418" xr:uid="{00000000-0005-0000-0000-00002E300000}"/>
    <cellStyle name="Normal GHG Numbers (0.00) 6 3" xfId="13690" xr:uid="{00000000-0005-0000-0000-00002F300000}"/>
    <cellStyle name="Normal GHG Numbers (0.00) 6 3 2" xfId="28522" xr:uid="{00000000-0005-0000-0000-000030300000}"/>
    <cellStyle name="Normal GHG Numbers (0.00) 7" xfId="2298" xr:uid="{00000000-0005-0000-0000-000031300000}"/>
    <cellStyle name="Normal GHG Numbers (0.00) 7 2" xfId="6410" xr:uid="{00000000-0005-0000-0000-000032300000}"/>
    <cellStyle name="Normal GHG Numbers (0.00) 7 2 2" xfId="22812" xr:uid="{00000000-0005-0000-0000-000033300000}"/>
    <cellStyle name="Normal GHG Numbers (0.00) 7 3" xfId="12638" xr:uid="{00000000-0005-0000-0000-000034300000}"/>
    <cellStyle name="Normal GHG Numbers (0.00) 7 3 2" xfId="27470" xr:uid="{00000000-0005-0000-0000-000035300000}"/>
    <cellStyle name="Normal GHG Numbers (0.00) 8" xfId="1684" xr:uid="{00000000-0005-0000-0000-000036300000}"/>
    <cellStyle name="Normal GHG Numbers (0.00) 8 2" xfId="5816" xr:uid="{00000000-0005-0000-0000-000037300000}"/>
    <cellStyle name="Normal GHG Numbers (0.00) 8 2 2" xfId="22413" xr:uid="{00000000-0005-0000-0000-000038300000}"/>
    <cellStyle name="Normal GHG Numbers (0.00) 8 3" xfId="12078" xr:uid="{00000000-0005-0000-0000-000039300000}"/>
    <cellStyle name="Normal GHG Numbers (0.00) 8 3 2" xfId="26910" xr:uid="{00000000-0005-0000-0000-00003A300000}"/>
    <cellStyle name="Normal GHG Numbers (0.00) 9" xfId="5471" xr:uid="{00000000-0005-0000-0000-00003B300000}"/>
    <cellStyle name="Normal GHG Numbers (0.00) 9 2" xfId="15706" xr:uid="{00000000-0005-0000-0000-00003C300000}"/>
    <cellStyle name="Normal GHG Numbers (0.00) 9 2 2" xfId="30538" xr:uid="{00000000-0005-0000-0000-00003D300000}"/>
    <cellStyle name="Normal GHG Numbers (0.00) 9 3" xfId="22199" xr:uid="{00000000-0005-0000-0000-00003E300000}"/>
    <cellStyle name="Normal GHG Textfiels Bold" xfId="1212" xr:uid="{00000000-0005-0000-0000-00003F300000}"/>
    <cellStyle name="Normal GHG Textfiels Bold 2" xfId="1300" xr:uid="{00000000-0005-0000-0000-000040300000}"/>
    <cellStyle name="Normal GHG Textfiels Bold 2 10" xfId="1690" xr:uid="{00000000-0005-0000-0000-000041300000}"/>
    <cellStyle name="Normal GHG Textfiels Bold 2 10 2" xfId="5822" xr:uid="{00000000-0005-0000-0000-000042300000}"/>
    <cellStyle name="Normal GHG Textfiels Bold 2 10 2 2" xfId="22419" xr:uid="{00000000-0005-0000-0000-000043300000}"/>
    <cellStyle name="Normal GHG Textfiels Bold 2 10 3" xfId="12084" xr:uid="{00000000-0005-0000-0000-000044300000}"/>
    <cellStyle name="Normal GHG Textfiels Bold 2 10 3 2" xfId="26916" xr:uid="{00000000-0005-0000-0000-000045300000}"/>
    <cellStyle name="Normal GHG Textfiels Bold 2 11" xfId="5477" xr:uid="{00000000-0005-0000-0000-000046300000}"/>
    <cellStyle name="Normal GHG Textfiels Bold 2 11 2" xfId="15712" xr:uid="{00000000-0005-0000-0000-000047300000}"/>
    <cellStyle name="Normal GHG Textfiels Bold 2 11 2 2" xfId="30544" xr:uid="{00000000-0005-0000-0000-000048300000}"/>
    <cellStyle name="Normal GHG Textfiels Bold 2 11 3" xfId="22205" xr:uid="{00000000-0005-0000-0000-000049300000}"/>
    <cellStyle name="Normal GHG Textfiels Bold 2 2" xfId="1384" xr:uid="{00000000-0005-0000-0000-00004A300000}"/>
    <cellStyle name="Normal GHG Textfiels Bold 2 2 2" xfId="1679" xr:uid="{00000000-0005-0000-0000-00004B300000}"/>
    <cellStyle name="Normal GHG Textfiels Bold 2 2 2 2" xfId="2262" xr:uid="{00000000-0005-0000-0000-00004C300000}"/>
    <cellStyle name="Normal GHG Textfiels Bold 2 2 2 2 2" xfId="4366" xr:uid="{00000000-0005-0000-0000-00004D300000}"/>
    <cellStyle name="Normal GHG Textfiels Bold 2 2 2 2 2 2" xfId="8405" xr:uid="{00000000-0005-0000-0000-00004E300000}"/>
    <cellStyle name="Normal GHG Textfiels Bold 2 2 2 2 2 2 2" xfId="24063" xr:uid="{00000000-0005-0000-0000-00004F300000}"/>
    <cellStyle name="Normal GHG Textfiels Bold 2 2 2 2 2 3" xfId="14695" xr:uid="{00000000-0005-0000-0000-000050300000}"/>
    <cellStyle name="Normal GHG Textfiels Bold 2 2 2 2 2 3 2" xfId="29527" xr:uid="{00000000-0005-0000-0000-000051300000}"/>
    <cellStyle name="Normal GHG Textfiels Bold 2 2 2 2 3" xfId="5230" xr:uid="{00000000-0005-0000-0000-000052300000}"/>
    <cellStyle name="Normal GHG Textfiels Bold 2 2 2 2 3 2" xfId="9269" xr:uid="{00000000-0005-0000-0000-000053300000}"/>
    <cellStyle name="Normal GHG Textfiels Bold 2 2 2 2 3 2 2" xfId="24607" xr:uid="{00000000-0005-0000-0000-000054300000}"/>
    <cellStyle name="Normal GHG Textfiels Bold 2 2 2 2 3 3" xfId="15546" xr:uid="{00000000-0005-0000-0000-000055300000}"/>
    <cellStyle name="Normal GHG Textfiels Bold 2 2 2 2 3 3 2" xfId="30378" xr:uid="{00000000-0005-0000-0000-000056300000}"/>
    <cellStyle name="Normal GHG Textfiels Bold 2 2 2 2 4" xfId="4260" xr:uid="{00000000-0005-0000-0000-000057300000}"/>
    <cellStyle name="Normal GHG Textfiels Bold 2 2 2 2 4 2" xfId="8299" xr:uid="{00000000-0005-0000-0000-000058300000}"/>
    <cellStyle name="Normal GHG Textfiels Bold 2 2 2 2 4 2 2" xfId="23994" xr:uid="{00000000-0005-0000-0000-000059300000}"/>
    <cellStyle name="Normal GHG Textfiels Bold 2 2 2 2 4 3" xfId="14592" xr:uid="{00000000-0005-0000-0000-00005A300000}"/>
    <cellStyle name="Normal GHG Textfiels Bold 2 2 2 2 4 3 2" xfId="29424" xr:uid="{00000000-0005-0000-0000-00005B300000}"/>
    <cellStyle name="Normal GHG Textfiels Bold 2 2 2 2 5" xfId="6374" xr:uid="{00000000-0005-0000-0000-00005C300000}"/>
    <cellStyle name="Normal GHG Textfiels Bold 2 2 2 2 5 2" xfId="22776" xr:uid="{00000000-0005-0000-0000-00005D300000}"/>
    <cellStyle name="Normal GHG Textfiels Bold 2 2 2 3" xfId="3968" xr:uid="{00000000-0005-0000-0000-00005E300000}"/>
    <cellStyle name="Normal GHG Textfiels Bold 2 2 2 3 2" xfId="8017" xr:uid="{00000000-0005-0000-0000-00005F300000}"/>
    <cellStyle name="Normal GHG Textfiels Bold 2 2 2 3 2 2" xfId="23810" xr:uid="{00000000-0005-0000-0000-000060300000}"/>
    <cellStyle name="Normal GHG Textfiels Bold 2 2 2 3 3" xfId="14301" xr:uid="{00000000-0005-0000-0000-000061300000}"/>
    <cellStyle name="Normal GHG Textfiels Bold 2 2 2 3 3 2" xfId="29133" xr:uid="{00000000-0005-0000-0000-000062300000}"/>
    <cellStyle name="Normal GHG Textfiels Bold 2 2 2 4" xfId="4263" xr:uid="{00000000-0005-0000-0000-000063300000}"/>
    <cellStyle name="Normal GHG Textfiels Bold 2 2 2 4 2" xfId="8302" xr:uid="{00000000-0005-0000-0000-000064300000}"/>
    <cellStyle name="Normal GHG Textfiels Bold 2 2 2 4 2 2" xfId="23997" xr:uid="{00000000-0005-0000-0000-000065300000}"/>
    <cellStyle name="Normal GHG Textfiels Bold 2 2 2 4 3" xfId="14595" xr:uid="{00000000-0005-0000-0000-000066300000}"/>
    <cellStyle name="Normal GHG Textfiels Bold 2 2 2 4 3 2" xfId="29427" xr:uid="{00000000-0005-0000-0000-000067300000}"/>
    <cellStyle name="Normal GHG Textfiels Bold 2 2 2 5" xfId="4866" xr:uid="{00000000-0005-0000-0000-000068300000}"/>
    <cellStyle name="Normal GHG Textfiels Bold 2 2 2 5 2" xfId="8905" xr:uid="{00000000-0005-0000-0000-000069300000}"/>
    <cellStyle name="Normal GHG Textfiels Bold 2 2 2 5 2 2" xfId="24371" xr:uid="{00000000-0005-0000-0000-00006A300000}"/>
    <cellStyle name="Normal GHG Textfiels Bold 2 2 2 5 3" xfId="15189" xr:uid="{00000000-0005-0000-0000-00006B300000}"/>
    <cellStyle name="Normal GHG Textfiels Bold 2 2 2 5 3 2" xfId="30021" xr:uid="{00000000-0005-0000-0000-00006C300000}"/>
    <cellStyle name="Normal GHG Textfiels Bold 2 2 2 6" xfId="2856" xr:uid="{00000000-0005-0000-0000-00006D300000}"/>
    <cellStyle name="Normal GHG Textfiels Bold 2 2 2 6 2" xfId="13194" xr:uid="{00000000-0005-0000-0000-00006E300000}"/>
    <cellStyle name="Normal GHG Textfiels Bold 2 2 2 6 2 2" xfId="28026" xr:uid="{00000000-0005-0000-0000-00006F300000}"/>
    <cellStyle name="Normal GHG Textfiels Bold 2 2 2 6 3" xfId="20782" xr:uid="{00000000-0005-0000-0000-000070300000}"/>
    <cellStyle name="Normal GHG Textfiels Bold 2 2 2 7" xfId="1888" xr:uid="{00000000-0005-0000-0000-000071300000}"/>
    <cellStyle name="Normal GHG Textfiels Bold 2 2 2 7 2" xfId="6019" xr:uid="{00000000-0005-0000-0000-000072300000}"/>
    <cellStyle name="Normal GHG Textfiels Bold 2 2 2 7 2 2" xfId="22552" xr:uid="{00000000-0005-0000-0000-000073300000}"/>
    <cellStyle name="Normal GHG Textfiels Bold 2 2 2 8" xfId="12074" xr:uid="{00000000-0005-0000-0000-000074300000}"/>
    <cellStyle name="Normal GHG Textfiels Bold 2 2 2 8 2" xfId="26906" xr:uid="{00000000-0005-0000-0000-000075300000}"/>
    <cellStyle name="Normal GHG Textfiels Bold 2 2 3" xfId="3667" xr:uid="{00000000-0005-0000-0000-000076300000}"/>
    <cellStyle name="Normal GHG Textfiels Bold 2 2 3 2" xfId="7725" xr:uid="{00000000-0005-0000-0000-000077300000}"/>
    <cellStyle name="Normal GHG Textfiels Bold 2 2 3 2 2" xfId="23621" xr:uid="{00000000-0005-0000-0000-000078300000}"/>
    <cellStyle name="Normal GHG Textfiels Bold 2 2 3 3" xfId="14002" xr:uid="{00000000-0005-0000-0000-000079300000}"/>
    <cellStyle name="Normal GHG Textfiels Bold 2 2 3 3 2" xfId="28834" xr:uid="{00000000-0005-0000-0000-00007A300000}"/>
    <cellStyle name="Normal GHG Textfiels Bold 2 2 4" xfId="4446" xr:uid="{00000000-0005-0000-0000-00007B300000}"/>
    <cellStyle name="Normal GHG Textfiels Bold 2 2 4 2" xfId="8485" xr:uid="{00000000-0005-0000-0000-00007C300000}"/>
    <cellStyle name="Normal GHG Textfiels Bold 2 2 4 2 2" xfId="24111" xr:uid="{00000000-0005-0000-0000-00007D300000}"/>
    <cellStyle name="Normal GHG Textfiels Bold 2 2 4 3" xfId="14774" xr:uid="{00000000-0005-0000-0000-00007E300000}"/>
    <cellStyle name="Normal GHG Textfiels Bold 2 2 4 3 2" xfId="29606" xr:uid="{00000000-0005-0000-0000-00007F300000}"/>
    <cellStyle name="Normal GHG Textfiels Bold 2 2 5" xfId="2436" xr:uid="{00000000-0005-0000-0000-000080300000}"/>
    <cellStyle name="Normal GHG Textfiels Bold 2 2 5 2" xfId="12775" xr:uid="{00000000-0005-0000-0000-000081300000}"/>
    <cellStyle name="Normal GHG Textfiels Bold 2 2 5 2 2" xfId="27607" xr:uid="{00000000-0005-0000-0000-000082300000}"/>
    <cellStyle name="Normal GHG Textfiels Bold 2 2 5 3" xfId="20528" xr:uid="{00000000-0005-0000-0000-000083300000}"/>
    <cellStyle name="Normal GHG Textfiels Bold 2 2 6" xfId="5560" xr:uid="{00000000-0005-0000-0000-000084300000}"/>
    <cellStyle name="Normal GHG Textfiels Bold 2 2 6 2" xfId="15795" xr:uid="{00000000-0005-0000-0000-000085300000}"/>
    <cellStyle name="Normal GHG Textfiels Bold 2 2 6 2 2" xfId="30627" xr:uid="{00000000-0005-0000-0000-000086300000}"/>
    <cellStyle name="Normal GHG Textfiels Bold 2 2 6 3" xfId="22256" xr:uid="{00000000-0005-0000-0000-000087300000}"/>
    <cellStyle name="Normal GHG Textfiels Bold 2 3" xfId="1556" xr:uid="{00000000-0005-0000-0000-000088300000}"/>
    <cellStyle name="Normal GHG Textfiels Bold 2 3 2" xfId="2053" xr:uid="{00000000-0005-0000-0000-000089300000}"/>
    <cellStyle name="Normal GHG Textfiels Bold 2 3 2 2" xfId="4076" xr:uid="{00000000-0005-0000-0000-00008A300000}"/>
    <cellStyle name="Normal GHG Textfiels Bold 2 3 2 2 2" xfId="8122" xr:uid="{00000000-0005-0000-0000-00008B300000}"/>
    <cellStyle name="Normal GHG Textfiels Bold 2 3 2 2 2 2" xfId="23873" xr:uid="{00000000-0005-0000-0000-00008C300000}"/>
    <cellStyle name="Normal GHG Textfiels Bold 2 3 2 2 3" xfId="14408" xr:uid="{00000000-0005-0000-0000-00008D300000}"/>
    <cellStyle name="Normal GHG Textfiels Bold 2 3 2 2 3 2" xfId="29240" xr:uid="{00000000-0005-0000-0000-00008E300000}"/>
    <cellStyle name="Normal GHG Textfiels Bold 2 3 2 3" xfId="3394" xr:uid="{00000000-0005-0000-0000-00008F300000}"/>
    <cellStyle name="Normal GHG Textfiels Bold 2 3 2 3 2" xfId="7457" xr:uid="{00000000-0005-0000-0000-000090300000}"/>
    <cellStyle name="Normal GHG Textfiels Bold 2 3 2 3 2 2" xfId="23446" xr:uid="{00000000-0005-0000-0000-000091300000}"/>
    <cellStyle name="Normal GHG Textfiels Bold 2 3 2 3 3" xfId="13731" xr:uid="{00000000-0005-0000-0000-000092300000}"/>
    <cellStyle name="Normal GHG Textfiels Bold 2 3 2 3 3 2" xfId="28563" xr:uid="{00000000-0005-0000-0000-000093300000}"/>
    <cellStyle name="Normal GHG Textfiels Bold 2 3 2 4" xfId="5021" xr:uid="{00000000-0005-0000-0000-000094300000}"/>
    <cellStyle name="Normal GHG Textfiels Bold 2 3 2 4 2" xfId="9060" xr:uid="{00000000-0005-0000-0000-000095300000}"/>
    <cellStyle name="Normal GHG Textfiels Bold 2 3 2 4 2 2" xfId="24494" xr:uid="{00000000-0005-0000-0000-000096300000}"/>
    <cellStyle name="Normal GHG Textfiels Bold 2 3 2 4 3" xfId="15342" xr:uid="{00000000-0005-0000-0000-000097300000}"/>
    <cellStyle name="Normal GHG Textfiels Bold 2 3 2 4 3 2" xfId="30174" xr:uid="{00000000-0005-0000-0000-000098300000}"/>
    <cellStyle name="Normal GHG Textfiels Bold 2 3 2 5" xfId="3011" xr:uid="{00000000-0005-0000-0000-000099300000}"/>
    <cellStyle name="Normal GHG Textfiels Bold 2 3 2 5 2" xfId="13349" xr:uid="{00000000-0005-0000-0000-00009A300000}"/>
    <cellStyle name="Normal GHG Textfiels Bold 2 3 2 5 2 2" xfId="28181" xr:uid="{00000000-0005-0000-0000-00009B300000}"/>
    <cellStyle name="Normal GHG Textfiels Bold 2 3 2 5 3" xfId="20905" xr:uid="{00000000-0005-0000-0000-00009C300000}"/>
    <cellStyle name="Normal GHG Textfiels Bold 2 3 3" xfId="3778" xr:uid="{00000000-0005-0000-0000-00009D300000}"/>
    <cellStyle name="Normal GHG Textfiels Bold 2 3 3 2" xfId="7833" xr:uid="{00000000-0005-0000-0000-00009E300000}"/>
    <cellStyle name="Normal GHG Textfiels Bold 2 3 3 2 2" xfId="23689" xr:uid="{00000000-0005-0000-0000-00009F300000}"/>
    <cellStyle name="Normal GHG Textfiels Bold 2 3 3 3" xfId="14113" xr:uid="{00000000-0005-0000-0000-0000A0300000}"/>
    <cellStyle name="Normal GHG Textfiels Bold 2 3 3 3 2" xfId="28945" xr:uid="{00000000-0005-0000-0000-0000A1300000}"/>
    <cellStyle name="Normal GHG Textfiels Bold 2 3 4" xfId="4601" xr:uid="{00000000-0005-0000-0000-0000A2300000}"/>
    <cellStyle name="Normal GHG Textfiels Bold 2 3 4 2" xfId="8640" xr:uid="{00000000-0005-0000-0000-0000A3300000}"/>
    <cellStyle name="Normal GHG Textfiels Bold 2 3 4 2 2" xfId="24234" xr:uid="{00000000-0005-0000-0000-0000A4300000}"/>
    <cellStyle name="Normal GHG Textfiels Bold 2 3 4 3" xfId="14927" xr:uid="{00000000-0005-0000-0000-0000A5300000}"/>
    <cellStyle name="Normal GHG Textfiels Bold 2 3 4 3 2" xfId="29759" xr:uid="{00000000-0005-0000-0000-0000A6300000}"/>
    <cellStyle name="Normal GHG Textfiels Bold 2 3 5" xfId="2591" xr:uid="{00000000-0005-0000-0000-0000A7300000}"/>
    <cellStyle name="Normal GHG Textfiels Bold 2 3 5 2" xfId="12929" xr:uid="{00000000-0005-0000-0000-0000A8300000}"/>
    <cellStyle name="Normal GHG Textfiels Bold 2 3 5 2 2" xfId="27761" xr:uid="{00000000-0005-0000-0000-0000A9300000}"/>
    <cellStyle name="Normal GHG Textfiels Bold 2 3 5 3" xfId="20645" xr:uid="{00000000-0005-0000-0000-0000AA300000}"/>
    <cellStyle name="Normal GHG Textfiels Bold 2 3 6" xfId="1701" xr:uid="{00000000-0005-0000-0000-0000AB300000}"/>
    <cellStyle name="Normal GHG Textfiels Bold 2 3 6 2" xfId="5833" xr:uid="{00000000-0005-0000-0000-0000AC300000}"/>
    <cellStyle name="Normal GHG Textfiels Bold 2 3 6 2 2" xfId="22430" xr:uid="{00000000-0005-0000-0000-0000AD300000}"/>
    <cellStyle name="Normal GHG Textfiels Bold 2 3 6 3" xfId="12095" xr:uid="{00000000-0005-0000-0000-0000AE300000}"/>
    <cellStyle name="Normal GHG Textfiels Bold 2 3 6 3 2" xfId="26927" xr:uid="{00000000-0005-0000-0000-0000AF300000}"/>
    <cellStyle name="Normal GHG Textfiels Bold 2 4" xfId="1609" xr:uid="{00000000-0005-0000-0000-0000B0300000}"/>
    <cellStyle name="Normal GHG Textfiels Bold 2 4 2" xfId="2106" xr:uid="{00000000-0005-0000-0000-0000B1300000}"/>
    <cellStyle name="Normal GHG Textfiels Bold 2 4 2 2" xfId="4116" xr:uid="{00000000-0005-0000-0000-0000B2300000}"/>
    <cellStyle name="Normal GHG Textfiels Bold 2 4 2 2 2" xfId="8161" xr:uid="{00000000-0005-0000-0000-0000B3300000}"/>
    <cellStyle name="Normal GHG Textfiels Bold 2 4 2 2 2 2" xfId="23899" xr:uid="{00000000-0005-0000-0000-0000B4300000}"/>
    <cellStyle name="Normal GHG Textfiels Bold 2 4 2 2 3" xfId="14448" xr:uid="{00000000-0005-0000-0000-0000B5300000}"/>
    <cellStyle name="Normal GHG Textfiels Bold 2 4 2 2 3 2" xfId="29280" xr:uid="{00000000-0005-0000-0000-0000B6300000}"/>
    <cellStyle name="Normal GHG Textfiels Bold 2 4 2 3" xfId="3490" xr:uid="{00000000-0005-0000-0000-0000B7300000}"/>
    <cellStyle name="Normal GHG Textfiels Bold 2 4 2 3 2" xfId="7552" xr:uid="{00000000-0005-0000-0000-0000B8300000}"/>
    <cellStyle name="Normal GHG Textfiels Bold 2 4 2 3 2 2" xfId="23512" xr:uid="{00000000-0005-0000-0000-0000B9300000}"/>
    <cellStyle name="Normal GHG Textfiels Bold 2 4 2 3 3" xfId="13827" xr:uid="{00000000-0005-0000-0000-0000BA300000}"/>
    <cellStyle name="Normal GHG Textfiels Bold 2 4 2 3 3 2" xfId="28659" xr:uid="{00000000-0005-0000-0000-0000BB300000}"/>
    <cellStyle name="Normal GHG Textfiels Bold 2 4 2 4" xfId="5074" xr:uid="{00000000-0005-0000-0000-0000BC300000}"/>
    <cellStyle name="Normal GHG Textfiels Bold 2 4 2 4 2" xfId="9113" xr:uid="{00000000-0005-0000-0000-0000BD300000}"/>
    <cellStyle name="Normal GHG Textfiels Bold 2 4 2 4 2 2" xfId="24515" xr:uid="{00000000-0005-0000-0000-0000BE300000}"/>
    <cellStyle name="Normal GHG Textfiels Bold 2 4 2 4 3" xfId="15394" xr:uid="{00000000-0005-0000-0000-0000BF300000}"/>
    <cellStyle name="Normal GHG Textfiels Bold 2 4 2 4 3 2" xfId="30226" xr:uid="{00000000-0005-0000-0000-0000C0300000}"/>
    <cellStyle name="Normal GHG Textfiels Bold 2 4 2 5" xfId="3064" xr:uid="{00000000-0005-0000-0000-0000C1300000}"/>
    <cellStyle name="Normal GHG Textfiels Bold 2 4 2 5 2" xfId="13402" xr:uid="{00000000-0005-0000-0000-0000C2300000}"/>
    <cellStyle name="Normal GHG Textfiels Bold 2 4 2 5 2 2" xfId="28234" xr:uid="{00000000-0005-0000-0000-0000C3300000}"/>
    <cellStyle name="Normal GHG Textfiels Bold 2 4 2 5 3" xfId="20926" xr:uid="{00000000-0005-0000-0000-0000C4300000}"/>
    <cellStyle name="Normal GHG Textfiels Bold 2 4 3" xfId="3816" xr:uid="{00000000-0005-0000-0000-0000C5300000}"/>
    <cellStyle name="Normal GHG Textfiels Bold 2 4 3 2" xfId="7869" xr:uid="{00000000-0005-0000-0000-0000C6300000}"/>
    <cellStyle name="Normal GHG Textfiels Bold 2 4 3 2 2" xfId="23716" xr:uid="{00000000-0005-0000-0000-0000C7300000}"/>
    <cellStyle name="Normal GHG Textfiels Bold 2 4 3 3" xfId="14151" xr:uid="{00000000-0005-0000-0000-0000C8300000}"/>
    <cellStyle name="Normal GHG Textfiels Bold 2 4 3 3 2" xfId="28983" xr:uid="{00000000-0005-0000-0000-0000C9300000}"/>
    <cellStyle name="Normal GHG Textfiels Bold 2 4 4" xfId="4654" xr:uid="{00000000-0005-0000-0000-0000CA300000}"/>
    <cellStyle name="Normal GHG Textfiels Bold 2 4 4 2" xfId="8693" xr:uid="{00000000-0005-0000-0000-0000CB300000}"/>
    <cellStyle name="Normal GHG Textfiels Bold 2 4 4 2 2" xfId="24255" xr:uid="{00000000-0005-0000-0000-0000CC300000}"/>
    <cellStyle name="Normal GHG Textfiels Bold 2 4 4 3" xfId="14979" xr:uid="{00000000-0005-0000-0000-0000CD300000}"/>
    <cellStyle name="Normal GHG Textfiels Bold 2 4 4 3 2" xfId="29811" xr:uid="{00000000-0005-0000-0000-0000CE300000}"/>
    <cellStyle name="Normal GHG Textfiels Bold 2 4 5" xfId="2644" xr:uid="{00000000-0005-0000-0000-0000CF300000}"/>
    <cellStyle name="Normal GHG Textfiels Bold 2 4 5 2" xfId="12982" xr:uid="{00000000-0005-0000-0000-0000D0300000}"/>
    <cellStyle name="Normal GHG Textfiels Bold 2 4 5 2 2" xfId="27814" xr:uid="{00000000-0005-0000-0000-0000D1300000}"/>
    <cellStyle name="Normal GHG Textfiels Bold 2 4 5 3" xfId="20666" xr:uid="{00000000-0005-0000-0000-0000D2300000}"/>
    <cellStyle name="Normal GHG Textfiels Bold 2 4 6" xfId="1706" xr:uid="{00000000-0005-0000-0000-0000D3300000}"/>
    <cellStyle name="Normal GHG Textfiels Bold 2 4 6 2" xfId="5838" xr:uid="{00000000-0005-0000-0000-0000D4300000}"/>
    <cellStyle name="Normal GHG Textfiels Bold 2 4 6 2 2" xfId="22435" xr:uid="{00000000-0005-0000-0000-0000D5300000}"/>
    <cellStyle name="Normal GHG Textfiels Bold 2 4 6 3" xfId="12100" xr:uid="{00000000-0005-0000-0000-0000D6300000}"/>
    <cellStyle name="Normal GHG Textfiels Bold 2 4 6 3 2" xfId="26932" xr:uid="{00000000-0005-0000-0000-0000D7300000}"/>
    <cellStyle name="Normal GHG Textfiels Bold 2 5" xfId="1659" xr:uid="{00000000-0005-0000-0000-0000D8300000}"/>
    <cellStyle name="Normal GHG Textfiels Bold 2 5 2" xfId="2156" xr:uid="{00000000-0005-0000-0000-0000D9300000}"/>
    <cellStyle name="Normal GHG Textfiels Bold 2 5 2 2" xfId="4154" xr:uid="{00000000-0005-0000-0000-0000DA300000}"/>
    <cellStyle name="Normal GHG Textfiels Bold 2 5 2 2 2" xfId="8196" xr:uid="{00000000-0005-0000-0000-0000DB300000}"/>
    <cellStyle name="Normal GHG Textfiels Bold 2 5 2 2 2 2" xfId="23923" xr:uid="{00000000-0005-0000-0000-0000DC300000}"/>
    <cellStyle name="Normal GHG Textfiels Bold 2 5 2 2 3" xfId="14486" xr:uid="{00000000-0005-0000-0000-0000DD300000}"/>
    <cellStyle name="Normal GHG Textfiels Bold 2 5 2 2 3 2" xfId="29318" xr:uid="{00000000-0005-0000-0000-0000DE300000}"/>
    <cellStyle name="Normal GHG Textfiels Bold 2 5 2 3" xfId="3417" xr:uid="{00000000-0005-0000-0000-0000DF300000}"/>
    <cellStyle name="Normal GHG Textfiels Bold 2 5 2 3 2" xfId="7480" xr:uid="{00000000-0005-0000-0000-0000E0300000}"/>
    <cellStyle name="Normal GHG Textfiels Bold 2 5 2 3 2 2" xfId="23463" xr:uid="{00000000-0005-0000-0000-0000E1300000}"/>
    <cellStyle name="Normal GHG Textfiels Bold 2 5 2 3 3" xfId="13754" xr:uid="{00000000-0005-0000-0000-0000E2300000}"/>
    <cellStyle name="Normal GHG Textfiels Bold 2 5 2 3 3 2" xfId="28586" xr:uid="{00000000-0005-0000-0000-0000E3300000}"/>
    <cellStyle name="Normal GHG Textfiels Bold 2 5 2 4" xfId="5124" xr:uid="{00000000-0005-0000-0000-0000E4300000}"/>
    <cellStyle name="Normal GHG Textfiels Bold 2 5 2 4 2" xfId="9163" xr:uid="{00000000-0005-0000-0000-0000E5300000}"/>
    <cellStyle name="Normal GHG Textfiels Bold 2 5 2 4 2 2" xfId="24533" xr:uid="{00000000-0005-0000-0000-0000E6300000}"/>
    <cellStyle name="Normal GHG Textfiels Bold 2 5 2 4 3" xfId="15443" xr:uid="{00000000-0005-0000-0000-0000E7300000}"/>
    <cellStyle name="Normal GHG Textfiels Bold 2 5 2 4 3 2" xfId="30275" xr:uid="{00000000-0005-0000-0000-0000E8300000}"/>
    <cellStyle name="Normal GHG Textfiels Bold 2 5 2 5" xfId="3114" xr:uid="{00000000-0005-0000-0000-0000E9300000}"/>
    <cellStyle name="Normal GHG Textfiels Bold 2 5 2 5 2" xfId="13452" xr:uid="{00000000-0005-0000-0000-0000EA300000}"/>
    <cellStyle name="Normal GHG Textfiels Bold 2 5 2 5 2 2" xfId="28284" xr:uid="{00000000-0005-0000-0000-0000EB300000}"/>
    <cellStyle name="Normal GHG Textfiels Bold 2 5 2 5 3" xfId="20944" xr:uid="{00000000-0005-0000-0000-0000EC300000}"/>
    <cellStyle name="Normal GHG Textfiels Bold 2 5 3" xfId="3854" xr:uid="{00000000-0005-0000-0000-0000ED300000}"/>
    <cellStyle name="Normal GHG Textfiels Bold 2 5 3 2" xfId="7906" xr:uid="{00000000-0005-0000-0000-0000EE300000}"/>
    <cellStyle name="Normal GHG Textfiels Bold 2 5 3 2 2" xfId="23742" xr:uid="{00000000-0005-0000-0000-0000EF300000}"/>
    <cellStyle name="Normal GHG Textfiels Bold 2 5 3 3" xfId="14189" xr:uid="{00000000-0005-0000-0000-0000F0300000}"/>
    <cellStyle name="Normal GHG Textfiels Bold 2 5 3 3 2" xfId="29021" xr:uid="{00000000-0005-0000-0000-0000F1300000}"/>
    <cellStyle name="Normal GHG Textfiels Bold 2 5 4" xfId="4704" xr:uid="{00000000-0005-0000-0000-0000F2300000}"/>
    <cellStyle name="Normal GHG Textfiels Bold 2 5 4 2" xfId="8743" xr:uid="{00000000-0005-0000-0000-0000F3300000}"/>
    <cellStyle name="Normal GHG Textfiels Bold 2 5 4 2 2" xfId="24273" xr:uid="{00000000-0005-0000-0000-0000F4300000}"/>
    <cellStyle name="Normal GHG Textfiels Bold 2 5 4 3" xfId="15028" xr:uid="{00000000-0005-0000-0000-0000F5300000}"/>
    <cellStyle name="Normal GHG Textfiels Bold 2 5 4 3 2" xfId="29860" xr:uid="{00000000-0005-0000-0000-0000F6300000}"/>
    <cellStyle name="Normal GHG Textfiels Bold 2 5 5" xfId="2694" xr:uid="{00000000-0005-0000-0000-0000F7300000}"/>
    <cellStyle name="Normal GHG Textfiels Bold 2 5 5 2" xfId="13032" xr:uid="{00000000-0005-0000-0000-0000F8300000}"/>
    <cellStyle name="Normal GHG Textfiels Bold 2 5 5 2 2" xfId="27864" xr:uid="{00000000-0005-0000-0000-0000F9300000}"/>
    <cellStyle name="Normal GHG Textfiels Bold 2 5 5 3" xfId="20684" xr:uid="{00000000-0005-0000-0000-0000FA300000}"/>
    <cellStyle name="Normal GHG Textfiels Bold 2 5 6" xfId="1711" xr:uid="{00000000-0005-0000-0000-0000FB300000}"/>
    <cellStyle name="Normal GHG Textfiels Bold 2 5 6 2" xfId="5843" xr:uid="{00000000-0005-0000-0000-0000FC300000}"/>
    <cellStyle name="Normal GHG Textfiels Bold 2 5 6 2 2" xfId="22440" xr:uid="{00000000-0005-0000-0000-0000FD300000}"/>
    <cellStyle name="Normal GHG Textfiels Bold 2 5 6 3" xfId="12105" xr:uid="{00000000-0005-0000-0000-0000FE300000}"/>
    <cellStyle name="Normal GHG Textfiels Bold 2 5 6 3 2" xfId="26937" xr:uid="{00000000-0005-0000-0000-0000FF300000}"/>
    <cellStyle name="Normal GHG Textfiels Bold 2 6" xfId="1669" xr:uid="{00000000-0005-0000-0000-000000310000}"/>
    <cellStyle name="Normal GHG Textfiels Bold 2 6 2" xfId="4356" xr:uid="{00000000-0005-0000-0000-000001310000}"/>
    <cellStyle name="Normal GHG Textfiels Bold 2 6 2 2" xfId="8395" xr:uid="{00000000-0005-0000-0000-000002310000}"/>
    <cellStyle name="Normal GHG Textfiels Bold 2 6 2 2 2" xfId="24053" xr:uid="{00000000-0005-0000-0000-000003310000}"/>
    <cellStyle name="Normal GHG Textfiels Bold 2 6 2 3" xfId="14685" xr:uid="{00000000-0005-0000-0000-000004310000}"/>
    <cellStyle name="Normal GHG Textfiels Bold 2 6 2 3 2" xfId="29517" xr:uid="{00000000-0005-0000-0000-000005310000}"/>
    <cellStyle name="Normal GHG Textfiels Bold 2 6 3" xfId="5220" xr:uid="{00000000-0005-0000-0000-000006310000}"/>
    <cellStyle name="Normal GHG Textfiels Bold 2 6 3 2" xfId="9259" xr:uid="{00000000-0005-0000-0000-000007310000}"/>
    <cellStyle name="Normal GHG Textfiels Bold 2 6 3 2 2" xfId="24597" xr:uid="{00000000-0005-0000-0000-000008310000}"/>
    <cellStyle name="Normal GHG Textfiels Bold 2 6 3 3" xfId="15536" xr:uid="{00000000-0005-0000-0000-000009310000}"/>
    <cellStyle name="Normal GHG Textfiels Bold 2 6 3 3 2" xfId="30368" xr:uid="{00000000-0005-0000-0000-00000A310000}"/>
    <cellStyle name="Normal GHG Textfiels Bold 2 6 4" xfId="4250" xr:uid="{00000000-0005-0000-0000-00000B310000}"/>
    <cellStyle name="Normal GHG Textfiels Bold 2 6 4 2" xfId="8289" xr:uid="{00000000-0005-0000-0000-00000C310000}"/>
    <cellStyle name="Normal GHG Textfiels Bold 2 6 4 2 2" xfId="23984" xr:uid="{00000000-0005-0000-0000-00000D310000}"/>
    <cellStyle name="Normal GHG Textfiels Bold 2 6 4 3" xfId="14582" xr:uid="{00000000-0005-0000-0000-00000E310000}"/>
    <cellStyle name="Normal GHG Textfiels Bold 2 6 4 3 2" xfId="29414" xr:uid="{00000000-0005-0000-0000-00000F310000}"/>
    <cellStyle name="Normal GHG Textfiels Bold 2 6 5" xfId="2252" xr:uid="{00000000-0005-0000-0000-000010310000}"/>
    <cellStyle name="Normal GHG Textfiels Bold 2 6 5 2" xfId="6364" xr:uid="{00000000-0005-0000-0000-000011310000}"/>
    <cellStyle name="Normal GHG Textfiels Bold 2 6 5 2 2" xfId="22766" xr:uid="{00000000-0005-0000-0000-000012310000}"/>
    <cellStyle name="Normal GHG Textfiels Bold 2 6 6" xfId="5811" xr:uid="{00000000-0005-0000-0000-000013310000}"/>
    <cellStyle name="Normal GHG Textfiels Bold 2 6 6 2" xfId="22409" xr:uid="{00000000-0005-0000-0000-000014310000}"/>
    <cellStyle name="Normal GHG Textfiels Bold 2 6 7" xfId="12064" xr:uid="{00000000-0005-0000-0000-000015310000}"/>
    <cellStyle name="Normal GHG Textfiels Bold 2 6 7 2" xfId="26896" xr:uid="{00000000-0005-0000-0000-000016310000}"/>
    <cellStyle name="Normal GHG Textfiels Bold 2 7" xfId="3616" xr:uid="{00000000-0005-0000-0000-000017310000}"/>
    <cellStyle name="Normal GHG Textfiels Bold 2 7 2" xfId="7676" xr:uid="{00000000-0005-0000-0000-000018310000}"/>
    <cellStyle name="Normal GHG Textfiels Bold 2 7 2 2" xfId="23586" xr:uid="{00000000-0005-0000-0000-000019310000}"/>
    <cellStyle name="Normal GHG Textfiels Bold 2 7 3" xfId="13951" xr:uid="{00000000-0005-0000-0000-00001A310000}"/>
    <cellStyle name="Normal GHG Textfiels Bold 2 7 3 2" xfId="28783" xr:uid="{00000000-0005-0000-0000-00001B310000}"/>
    <cellStyle name="Normal GHG Textfiels Bold 2 8" xfId="3607" xr:uid="{00000000-0005-0000-0000-00001C310000}"/>
    <cellStyle name="Normal GHG Textfiels Bold 2 8 2" xfId="7668" xr:uid="{00000000-0005-0000-0000-00001D310000}"/>
    <cellStyle name="Normal GHG Textfiels Bold 2 8 2 2" xfId="23578" xr:uid="{00000000-0005-0000-0000-00001E310000}"/>
    <cellStyle name="Normal GHG Textfiels Bold 2 8 3" xfId="13943" xr:uid="{00000000-0005-0000-0000-00001F310000}"/>
    <cellStyle name="Normal GHG Textfiels Bold 2 8 3 2" xfId="28775" xr:uid="{00000000-0005-0000-0000-000020310000}"/>
    <cellStyle name="Normal GHG Textfiels Bold 2 9" xfId="2352" xr:uid="{00000000-0005-0000-0000-000021310000}"/>
    <cellStyle name="Normal GHG Textfiels Bold 2 9 2" xfId="6464" xr:uid="{00000000-0005-0000-0000-000022310000}"/>
    <cellStyle name="Normal GHG Textfiels Bold 2 9 2 2" xfId="22834" xr:uid="{00000000-0005-0000-0000-000023310000}"/>
    <cellStyle name="Normal GHG Textfiels Bold 2 9 3" xfId="12691" xr:uid="{00000000-0005-0000-0000-000024310000}"/>
    <cellStyle name="Normal GHG Textfiels Bold 2 9 3 2" xfId="27523" xr:uid="{00000000-0005-0000-0000-000025310000}"/>
    <cellStyle name="Normal GHG Textfiels Bold 3" xfId="1499" xr:uid="{00000000-0005-0000-0000-000026310000}"/>
    <cellStyle name="Normal GHG Textfiels Bold 3 2" xfId="1674" xr:uid="{00000000-0005-0000-0000-000027310000}"/>
    <cellStyle name="Normal GHG Textfiels Bold 3 2 2" xfId="2257" xr:uid="{00000000-0005-0000-0000-000028310000}"/>
    <cellStyle name="Normal GHG Textfiels Bold 3 2 2 2" xfId="4361" xr:uid="{00000000-0005-0000-0000-000029310000}"/>
    <cellStyle name="Normal GHG Textfiels Bold 3 2 2 2 2" xfId="8400" xr:uid="{00000000-0005-0000-0000-00002A310000}"/>
    <cellStyle name="Normal GHG Textfiels Bold 3 2 2 2 2 2" xfId="24058" xr:uid="{00000000-0005-0000-0000-00002B310000}"/>
    <cellStyle name="Normal GHG Textfiels Bold 3 2 2 2 3" xfId="14690" xr:uid="{00000000-0005-0000-0000-00002C310000}"/>
    <cellStyle name="Normal GHG Textfiels Bold 3 2 2 2 3 2" xfId="29522" xr:uid="{00000000-0005-0000-0000-00002D310000}"/>
    <cellStyle name="Normal GHG Textfiels Bold 3 2 2 3" xfId="5225" xr:uid="{00000000-0005-0000-0000-00002E310000}"/>
    <cellStyle name="Normal GHG Textfiels Bold 3 2 2 3 2" xfId="9264" xr:uid="{00000000-0005-0000-0000-00002F310000}"/>
    <cellStyle name="Normal GHG Textfiels Bold 3 2 2 3 2 2" xfId="24602" xr:uid="{00000000-0005-0000-0000-000030310000}"/>
    <cellStyle name="Normal GHG Textfiels Bold 3 2 2 3 3" xfId="15541" xr:uid="{00000000-0005-0000-0000-000031310000}"/>
    <cellStyle name="Normal GHG Textfiels Bold 3 2 2 3 3 2" xfId="30373" xr:uid="{00000000-0005-0000-0000-000032310000}"/>
    <cellStyle name="Normal GHG Textfiels Bold 3 2 2 4" xfId="4255" xr:uid="{00000000-0005-0000-0000-000033310000}"/>
    <cellStyle name="Normal GHG Textfiels Bold 3 2 2 4 2" xfId="8294" xr:uid="{00000000-0005-0000-0000-000034310000}"/>
    <cellStyle name="Normal GHG Textfiels Bold 3 2 2 4 2 2" xfId="23989" xr:uid="{00000000-0005-0000-0000-000035310000}"/>
    <cellStyle name="Normal GHG Textfiels Bold 3 2 2 4 3" xfId="14587" xr:uid="{00000000-0005-0000-0000-000036310000}"/>
    <cellStyle name="Normal GHG Textfiels Bold 3 2 2 4 3 2" xfId="29419" xr:uid="{00000000-0005-0000-0000-000037310000}"/>
    <cellStyle name="Normal GHG Textfiels Bold 3 2 2 5" xfId="6369" xr:uid="{00000000-0005-0000-0000-000038310000}"/>
    <cellStyle name="Normal GHG Textfiels Bold 3 2 2 5 2" xfId="22771" xr:uid="{00000000-0005-0000-0000-000039310000}"/>
    <cellStyle name="Normal GHG Textfiels Bold 3 2 3" xfId="4031" xr:uid="{00000000-0005-0000-0000-00003A310000}"/>
    <cellStyle name="Normal GHG Textfiels Bold 3 2 3 2" xfId="8078" xr:uid="{00000000-0005-0000-0000-00003B310000}"/>
    <cellStyle name="Normal GHG Textfiels Bold 3 2 3 2 2" xfId="23847" xr:uid="{00000000-0005-0000-0000-00003C310000}"/>
    <cellStyle name="Normal GHG Textfiels Bold 3 2 3 3" xfId="14363" xr:uid="{00000000-0005-0000-0000-00003D310000}"/>
    <cellStyle name="Normal GHG Textfiels Bold 3 2 3 3 2" xfId="29195" xr:uid="{00000000-0005-0000-0000-00003E310000}"/>
    <cellStyle name="Normal GHG Textfiels Bold 3 2 4" xfId="4122" xr:uid="{00000000-0005-0000-0000-00003F310000}"/>
    <cellStyle name="Normal GHG Textfiels Bold 3 2 4 2" xfId="14454" xr:uid="{00000000-0005-0000-0000-000040310000}"/>
    <cellStyle name="Normal GHG Textfiels Bold 3 2 4 2 2" xfId="29286" xr:uid="{00000000-0005-0000-0000-000041310000}"/>
    <cellStyle name="Normal GHG Textfiels Bold 3 2 4 3" xfId="21530" xr:uid="{00000000-0005-0000-0000-000042310000}"/>
    <cellStyle name="Normal GHG Textfiels Bold 3 2 5" xfId="4964" xr:uid="{00000000-0005-0000-0000-000043310000}"/>
    <cellStyle name="Normal GHG Textfiels Bold 3 2 5 2" xfId="9003" xr:uid="{00000000-0005-0000-0000-000044310000}"/>
    <cellStyle name="Normal GHG Textfiels Bold 3 2 5 2 2" xfId="24469" xr:uid="{00000000-0005-0000-0000-000045310000}"/>
    <cellStyle name="Normal GHG Textfiels Bold 3 2 5 3" xfId="15286" xr:uid="{00000000-0005-0000-0000-000046310000}"/>
    <cellStyle name="Normal GHG Textfiels Bold 3 2 5 3 2" xfId="30118" xr:uid="{00000000-0005-0000-0000-000047310000}"/>
    <cellStyle name="Normal GHG Textfiels Bold 3 2 6" xfId="2954" xr:uid="{00000000-0005-0000-0000-000048310000}"/>
    <cellStyle name="Normal GHG Textfiels Bold 3 2 6 2" xfId="13292" xr:uid="{00000000-0005-0000-0000-000049310000}"/>
    <cellStyle name="Normal GHG Textfiels Bold 3 2 6 2 2" xfId="28124" xr:uid="{00000000-0005-0000-0000-00004A310000}"/>
    <cellStyle name="Normal GHG Textfiels Bold 3 2 6 3" xfId="20880" xr:uid="{00000000-0005-0000-0000-00004B310000}"/>
    <cellStyle name="Normal GHG Textfiels Bold 3 2 7" xfId="12069" xr:uid="{00000000-0005-0000-0000-00004C310000}"/>
    <cellStyle name="Normal GHG Textfiels Bold 3 2 7 2" xfId="26901" xr:uid="{00000000-0005-0000-0000-00004D310000}"/>
    <cellStyle name="Normal GHG Textfiels Bold 3 3" xfId="2242" xr:uid="{00000000-0005-0000-0000-00004E310000}"/>
    <cellStyle name="Normal GHG Textfiels Bold 3 3 2" xfId="4346" xr:uid="{00000000-0005-0000-0000-00004F310000}"/>
    <cellStyle name="Normal GHG Textfiels Bold 3 3 2 2" xfId="8385" xr:uid="{00000000-0005-0000-0000-000050310000}"/>
    <cellStyle name="Normal GHG Textfiels Bold 3 3 2 2 2" xfId="24043" xr:uid="{00000000-0005-0000-0000-000051310000}"/>
    <cellStyle name="Normal GHG Textfiels Bold 3 3 2 3" xfId="14675" xr:uid="{00000000-0005-0000-0000-000052310000}"/>
    <cellStyle name="Normal GHG Textfiels Bold 3 3 2 3 2" xfId="29507" xr:uid="{00000000-0005-0000-0000-000053310000}"/>
    <cellStyle name="Normal GHG Textfiels Bold 3 3 3" xfId="5210" xr:uid="{00000000-0005-0000-0000-000054310000}"/>
    <cellStyle name="Normal GHG Textfiels Bold 3 3 3 2" xfId="9249" xr:uid="{00000000-0005-0000-0000-000055310000}"/>
    <cellStyle name="Normal GHG Textfiels Bold 3 3 3 2 2" xfId="24587" xr:uid="{00000000-0005-0000-0000-000056310000}"/>
    <cellStyle name="Normal GHG Textfiels Bold 3 3 3 3" xfId="15526" xr:uid="{00000000-0005-0000-0000-000057310000}"/>
    <cellStyle name="Normal GHG Textfiels Bold 3 3 3 3 2" xfId="30358" xr:uid="{00000000-0005-0000-0000-000058310000}"/>
    <cellStyle name="Normal GHG Textfiels Bold 3 3 4" xfId="4240" xr:uid="{00000000-0005-0000-0000-000059310000}"/>
    <cellStyle name="Normal GHG Textfiels Bold 3 3 4 2" xfId="8279" xr:uid="{00000000-0005-0000-0000-00005A310000}"/>
    <cellStyle name="Normal GHG Textfiels Bold 3 3 4 2 2" xfId="23974" xr:uid="{00000000-0005-0000-0000-00005B310000}"/>
    <cellStyle name="Normal GHG Textfiels Bold 3 3 4 3" xfId="14572" xr:uid="{00000000-0005-0000-0000-00005C310000}"/>
    <cellStyle name="Normal GHG Textfiels Bold 3 3 4 3 2" xfId="29404" xr:uid="{00000000-0005-0000-0000-00005D310000}"/>
    <cellStyle name="Normal GHG Textfiels Bold 3 3 5" xfId="6354" xr:uid="{00000000-0005-0000-0000-00005E310000}"/>
    <cellStyle name="Normal GHG Textfiels Bold 3 3 5 2" xfId="22756" xr:uid="{00000000-0005-0000-0000-00005F310000}"/>
    <cellStyle name="Normal GHG Textfiels Bold 3 4" xfId="3735" xr:uid="{00000000-0005-0000-0000-000060310000}"/>
    <cellStyle name="Normal GHG Textfiels Bold 3 4 2" xfId="7791" xr:uid="{00000000-0005-0000-0000-000061310000}"/>
    <cellStyle name="Normal GHG Textfiels Bold 3 4 2 2" xfId="23665" xr:uid="{00000000-0005-0000-0000-000062310000}"/>
    <cellStyle name="Normal GHG Textfiels Bold 3 4 3" xfId="14070" xr:uid="{00000000-0005-0000-0000-000063310000}"/>
    <cellStyle name="Normal GHG Textfiels Bold 3 4 3 2" xfId="28902" xr:uid="{00000000-0005-0000-0000-000064310000}"/>
    <cellStyle name="Normal GHG Textfiels Bold 3 5" xfId="3471" xr:uid="{00000000-0005-0000-0000-000065310000}"/>
    <cellStyle name="Normal GHG Textfiels Bold 3 5 2" xfId="13808" xr:uid="{00000000-0005-0000-0000-000066310000}"/>
    <cellStyle name="Normal GHG Textfiels Bold 3 5 2 2" xfId="28640" xr:uid="{00000000-0005-0000-0000-000067310000}"/>
    <cellStyle name="Normal GHG Textfiels Bold 3 5 3" xfId="21176" xr:uid="{00000000-0005-0000-0000-000068310000}"/>
    <cellStyle name="Normal GHG Textfiels Bold 3 6" xfId="4544" xr:uid="{00000000-0005-0000-0000-000069310000}"/>
    <cellStyle name="Normal GHG Textfiels Bold 3 6 2" xfId="8583" xr:uid="{00000000-0005-0000-0000-00006A310000}"/>
    <cellStyle name="Normal GHG Textfiels Bold 3 6 2 2" xfId="24209" xr:uid="{00000000-0005-0000-0000-00006B310000}"/>
    <cellStyle name="Normal GHG Textfiels Bold 3 6 3" xfId="14871" xr:uid="{00000000-0005-0000-0000-00006C310000}"/>
    <cellStyle name="Normal GHG Textfiels Bold 3 6 3 2" xfId="29703" xr:uid="{00000000-0005-0000-0000-00006D310000}"/>
    <cellStyle name="Normal GHG Textfiels Bold 3 7" xfId="2534" xr:uid="{00000000-0005-0000-0000-00006E310000}"/>
    <cellStyle name="Normal GHG Textfiels Bold 3 7 2" xfId="6640" xr:uid="{00000000-0005-0000-0000-00006F310000}"/>
    <cellStyle name="Normal GHG Textfiels Bold 3 7 2 2" xfId="22978" xr:uid="{00000000-0005-0000-0000-000070310000}"/>
    <cellStyle name="Normal GHG Textfiels Bold 3 7 3" xfId="12872" xr:uid="{00000000-0005-0000-0000-000071310000}"/>
    <cellStyle name="Normal GHG Textfiels Bold 3 7 3 2" xfId="27704" xr:uid="{00000000-0005-0000-0000-000072310000}"/>
    <cellStyle name="Normal GHG Textfiels Bold 3 8" xfId="1696" xr:uid="{00000000-0005-0000-0000-000073310000}"/>
    <cellStyle name="Normal GHG Textfiels Bold 3 8 2" xfId="5828" xr:uid="{00000000-0005-0000-0000-000074310000}"/>
    <cellStyle name="Normal GHG Textfiels Bold 3 8 2 2" xfId="22425" xr:uid="{00000000-0005-0000-0000-000075310000}"/>
    <cellStyle name="Normal GHG Textfiels Bold 3 8 3" xfId="12090" xr:uid="{00000000-0005-0000-0000-000076310000}"/>
    <cellStyle name="Normal GHG Textfiels Bold 3 8 3 2" xfId="26922" xr:uid="{00000000-0005-0000-0000-000077310000}"/>
    <cellStyle name="Normal GHG Textfiels Bold 3 9" xfId="5657" xr:uid="{00000000-0005-0000-0000-000078310000}"/>
    <cellStyle name="Normal GHG Textfiels Bold 3 9 2" xfId="15892" xr:uid="{00000000-0005-0000-0000-000079310000}"/>
    <cellStyle name="Normal GHG Textfiels Bold 3 9 2 2" xfId="30724" xr:uid="{00000000-0005-0000-0000-00007A310000}"/>
    <cellStyle name="Normal GHG Textfiels Bold 3 9 3" xfId="22353" xr:uid="{00000000-0005-0000-0000-00007B310000}"/>
    <cellStyle name="Normal GHG Textfiels Bold 4" xfId="1664" xr:uid="{00000000-0005-0000-0000-00007C310000}"/>
    <cellStyle name="Normal GHG Textfiels Bold 4 2" xfId="4351" xr:uid="{00000000-0005-0000-0000-00007D310000}"/>
    <cellStyle name="Normal GHG Textfiels Bold 4 2 2" xfId="8390" xr:uid="{00000000-0005-0000-0000-00007E310000}"/>
    <cellStyle name="Normal GHG Textfiels Bold 4 2 2 2" xfId="24048" xr:uid="{00000000-0005-0000-0000-00007F310000}"/>
    <cellStyle name="Normal GHG Textfiels Bold 4 2 3" xfId="14680" xr:uid="{00000000-0005-0000-0000-000080310000}"/>
    <cellStyle name="Normal GHG Textfiels Bold 4 2 3 2" xfId="29512" xr:uid="{00000000-0005-0000-0000-000081310000}"/>
    <cellStyle name="Normal GHG Textfiels Bold 4 3" xfId="5215" xr:uid="{00000000-0005-0000-0000-000082310000}"/>
    <cellStyle name="Normal GHG Textfiels Bold 4 3 2" xfId="9254" xr:uid="{00000000-0005-0000-0000-000083310000}"/>
    <cellStyle name="Normal GHG Textfiels Bold 4 3 2 2" xfId="24592" xr:uid="{00000000-0005-0000-0000-000084310000}"/>
    <cellStyle name="Normal GHG Textfiels Bold 4 3 3" xfId="15531" xr:uid="{00000000-0005-0000-0000-000085310000}"/>
    <cellStyle name="Normal GHG Textfiels Bold 4 3 3 2" xfId="30363" xr:uid="{00000000-0005-0000-0000-000086310000}"/>
    <cellStyle name="Normal GHG Textfiels Bold 4 4" xfId="4245" xr:uid="{00000000-0005-0000-0000-000087310000}"/>
    <cellStyle name="Normal GHG Textfiels Bold 4 4 2" xfId="8284" xr:uid="{00000000-0005-0000-0000-000088310000}"/>
    <cellStyle name="Normal GHG Textfiels Bold 4 4 2 2" xfId="23979" xr:uid="{00000000-0005-0000-0000-000089310000}"/>
    <cellStyle name="Normal GHG Textfiels Bold 4 4 3" xfId="14577" xr:uid="{00000000-0005-0000-0000-00008A310000}"/>
    <cellStyle name="Normal GHG Textfiels Bold 4 4 3 2" xfId="29409" xr:uid="{00000000-0005-0000-0000-00008B310000}"/>
    <cellStyle name="Normal GHG Textfiels Bold 4 5" xfId="2247" xr:uid="{00000000-0005-0000-0000-00008C310000}"/>
    <cellStyle name="Normal GHG Textfiels Bold 4 5 2" xfId="6359" xr:uid="{00000000-0005-0000-0000-00008D310000}"/>
    <cellStyle name="Normal GHG Textfiels Bold 4 5 2 2" xfId="22761" xr:uid="{00000000-0005-0000-0000-00008E310000}"/>
    <cellStyle name="Normal GHG Textfiels Bold 4 6" xfId="5806" xr:uid="{00000000-0005-0000-0000-00008F310000}"/>
    <cellStyle name="Normal GHG Textfiels Bold 4 6 2" xfId="22404" xr:uid="{00000000-0005-0000-0000-000090310000}"/>
    <cellStyle name="Normal GHG Textfiels Bold 4 7" xfId="12059" xr:uid="{00000000-0005-0000-0000-000091310000}"/>
    <cellStyle name="Normal GHG Textfiels Bold 4 7 2" xfId="26891" xr:uid="{00000000-0005-0000-0000-000092310000}"/>
    <cellStyle name="Normal GHG Textfiels Bold 5" xfId="3550" xr:uid="{00000000-0005-0000-0000-000093310000}"/>
    <cellStyle name="Normal GHG Textfiels Bold 5 2" xfId="7612" xr:uid="{00000000-0005-0000-0000-000094310000}"/>
    <cellStyle name="Normal GHG Textfiels Bold 5 2 2" xfId="23547" xr:uid="{00000000-0005-0000-0000-000095310000}"/>
    <cellStyle name="Normal GHG Textfiels Bold 5 3" xfId="13886" xr:uid="{00000000-0005-0000-0000-000096310000}"/>
    <cellStyle name="Normal GHG Textfiels Bold 5 3 2" xfId="28718" xr:uid="{00000000-0005-0000-0000-000097310000}"/>
    <cellStyle name="Normal GHG Textfiels Bold 6" xfId="4283" xr:uid="{00000000-0005-0000-0000-000098310000}"/>
    <cellStyle name="Normal GHG Textfiels Bold 6 2" xfId="8322" xr:uid="{00000000-0005-0000-0000-000099310000}"/>
    <cellStyle name="Normal GHG Textfiels Bold 6 2 2" xfId="24012" xr:uid="{00000000-0005-0000-0000-00009A310000}"/>
    <cellStyle name="Normal GHG Textfiels Bold 6 3" xfId="14615" xr:uid="{00000000-0005-0000-0000-00009B310000}"/>
    <cellStyle name="Normal GHG Textfiels Bold 6 3 2" xfId="29447" xr:uid="{00000000-0005-0000-0000-00009C310000}"/>
    <cellStyle name="Normal GHG Textfiels Bold 7" xfId="2299" xr:uid="{00000000-0005-0000-0000-00009D310000}"/>
    <cellStyle name="Normal GHG Textfiels Bold 7 2" xfId="6411" xr:uid="{00000000-0005-0000-0000-00009E310000}"/>
    <cellStyle name="Normal GHG Textfiels Bold 7 2 2" xfId="22813" xr:uid="{00000000-0005-0000-0000-00009F310000}"/>
    <cellStyle name="Normal GHG Textfiels Bold 7 3" xfId="12639" xr:uid="{00000000-0005-0000-0000-0000A0310000}"/>
    <cellStyle name="Normal GHG Textfiels Bold 7 3 2" xfId="27471" xr:uid="{00000000-0005-0000-0000-0000A1310000}"/>
    <cellStyle name="Normal GHG Textfiels Bold 8" xfId="1685" xr:uid="{00000000-0005-0000-0000-0000A2310000}"/>
    <cellStyle name="Normal GHG Textfiels Bold 8 2" xfId="5817" xr:uid="{00000000-0005-0000-0000-0000A3310000}"/>
    <cellStyle name="Normal GHG Textfiels Bold 8 2 2" xfId="22414" xr:uid="{00000000-0005-0000-0000-0000A4310000}"/>
    <cellStyle name="Normal GHG Textfiels Bold 8 3" xfId="12079" xr:uid="{00000000-0005-0000-0000-0000A5310000}"/>
    <cellStyle name="Normal GHG Textfiels Bold 8 3 2" xfId="26911" xr:uid="{00000000-0005-0000-0000-0000A6310000}"/>
    <cellStyle name="Normal GHG Textfiels Bold 9" xfId="5472" xr:uid="{00000000-0005-0000-0000-0000A7310000}"/>
    <cellStyle name="Normal GHG Textfiels Bold 9 2" xfId="15707" xr:uid="{00000000-0005-0000-0000-0000A8310000}"/>
    <cellStyle name="Normal GHG Textfiels Bold 9 2 2" xfId="30539" xr:uid="{00000000-0005-0000-0000-0000A9310000}"/>
    <cellStyle name="Normal GHG Textfiels Bold 9 3" xfId="22200" xr:uid="{00000000-0005-0000-0000-0000AA310000}"/>
    <cellStyle name="Normal GHG whole table" xfId="1213" xr:uid="{00000000-0005-0000-0000-0000AB310000}"/>
    <cellStyle name="Normal GHG whole table 2" xfId="1301" xr:uid="{00000000-0005-0000-0000-0000AC310000}"/>
    <cellStyle name="Normal GHG whole table 2 10" xfId="1691" xr:uid="{00000000-0005-0000-0000-0000AD310000}"/>
    <cellStyle name="Normal GHG whole table 2 10 2" xfId="5823" xr:uid="{00000000-0005-0000-0000-0000AE310000}"/>
    <cellStyle name="Normal GHG whole table 2 10 2 2" xfId="22420" xr:uid="{00000000-0005-0000-0000-0000AF310000}"/>
    <cellStyle name="Normal GHG whole table 2 10 3" xfId="12085" xr:uid="{00000000-0005-0000-0000-0000B0310000}"/>
    <cellStyle name="Normal GHG whole table 2 10 3 2" xfId="26917" xr:uid="{00000000-0005-0000-0000-0000B1310000}"/>
    <cellStyle name="Normal GHG whole table 2 11" xfId="5478" xr:uid="{00000000-0005-0000-0000-0000B2310000}"/>
    <cellStyle name="Normal GHG whole table 2 11 2" xfId="15713" xr:uid="{00000000-0005-0000-0000-0000B3310000}"/>
    <cellStyle name="Normal GHG whole table 2 11 2 2" xfId="30545" xr:uid="{00000000-0005-0000-0000-0000B4310000}"/>
    <cellStyle name="Normal GHG whole table 2 11 3" xfId="22206" xr:uid="{00000000-0005-0000-0000-0000B5310000}"/>
    <cellStyle name="Normal GHG whole table 2 2" xfId="1385" xr:uid="{00000000-0005-0000-0000-0000B6310000}"/>
    <cellStyle name="Normal GHG whole table 2 2 2" xfId="1680" xr:uid="{00000000-0005-0000-0000-0000B7310000}"/>
    <cellStyle name="Normal GHG whole table 2 2 2 2" xfId="2263" xr:uid="{00000000-0005-0000-0000-0000B8310000}"/>
    <cellStyle name="Normal GHG whole table 2 2 2 2 2" xfId="4367" xr:uid="{00000000-0005-0000-0000-0000B9310000}"/>
    <cellStyle name="Normal GHG whole table 2 2 2 2 2 2" xfId="8406" xr:uid="{00000000-0005-0000-0000-0000BA310000}"/>
    <cellStyle name="Normal GHG whole table 2 2 2 2 2 2 2" xfId="24064" xr:uid="{00000000-0005-0000-0000-0000BB310000}"/>
    <cellStyle name="Normal GHG whole table 2 2 2 2 2 3" xfId="14696" xr:uid="{00000000-0005-0000-0000-0000BC310000}"/>
    <cellStyle name="Normal GHG whole table 2 2 2 2 2 3 2" xfId="29528" xr:uid="{00000000-0005-0000-0000-0000BD310000}"/>
    <cellStyle name="Normal GHG whole table 2 2 2 2 3" xfId="5231" xr:uid="{00000000-0005-0000-0000-0000BE310000}"/>
    <cellStyle name="Normal GHG whole table 2 2 2 2 3 2" xfId="9270" xr:uid="{00000000-0005-0000-0000-0000BF310000}"/>
    <cellStyle name="Normal GHG whole table 2 2 2 2 3 2 2" xfId="24608" xr:uid="{00000000-0005-0000-0000-0000C0310000}"/>
    <cellStyle name="Normal GHG whole table 2 2 2 2 3 3" xfId="15547" xr:uid="{00000000-0005-0000-0000-0000C1310000}"/>
    <cellStyle name="Normal GHG whole table 2 2 2 2 3 3 2" xfId="30379" xr:uid="{00000000-0005-0000-0000-0000C2310000}"/>
    <cellStyle name="Normal GHG whole table 2 2 2 2 4" xfId="4261" xr:uid="{00000000-0005-0000-0000-0000C3310000}"/>
    <cellStyle name="Normal GHG whole table 2 2 2 2 4 2" xfId="8300" xr:uid="{00000000-0005-0000-0000-0000C4310000}"/>
    <cellStyle name="Normal GHG whole table 2 2 2 2 4 2 2" xfId="23995" xr:uid="{00000000-0005-0000-0000-0000C5310000}"/>
    <cellStyle name="Normal GHG whole table 2 2 2 2 4 3" xfId="14593" xr:uid="{00000000-0005-0000-0000-0000C6310000}"/>
    <cellStyle name="Normal GHG whole table 2 2 2 2 4 3 2" xfId="29425" xr:uid="{00000000-0005-0000-0000-0000C7310000}"/>
    <cellStyle name="Normal GHG whole table 2 2 2 2 5" xfId="6375" xr:uid="{00000000-0005-0000-0000-0000C8310000}"/>
    <cellStyle name="Normal GHG whole table 2 2 2 2 5 2" xfId="22777" xr:uid="{00000000-0005-0000-0000-0000C9310000}"/>
    <cellStyle name="Normal GHG whole table 2 2 2 3" xfId="3969" xr:uid="{00000000-0005-0000-0000-0000CA310000}"/>
    <cellStyle name="Normal GHG whole table 2 2 2 3 2" xfId="8018" xr:uid="{00000000-0005-0000-0000-0000CB310000}"/>
    <cellStyle name="Normal GHG whole table 2 2 2 3 2 2" xfId="23811" xr:uid="{00000000-0005-0000-0000-0000CC310000}"/>
    <cellStyle name="Normal GHG whole table 2 2 2 3 3" xfId="14302" xr:uid="{00000000-0005-0000-0000-0000CD310000}"/>
    <cellStyle name="Normal GHG whole table 2 2 2 3 3 2" xfId="29134" xr:uid="{00000000-0005-0000-0000-0000CE310000}"/>
    <cellStyle name="Normal GHG whole table 2 2 2 4" xfId="3239" xr:uid="{00000000-0005-0000-0000-0000CF310000}"/>
    <cellStyle name="Normal GHG whole table 2 2 2 4 2" xfId="7303" xr:uid="{00000000-0005-0000-0000-0000D0310000}"/>
    <cellStyle name="Normal GHG whole table 2 2 2 4 2 2" xfId="23343" xr:uid="{00000000-0005-0000-0000-0000D1310000}"/>
    <cellStyle name="Normal GHG whole table 2 2 2 4 3" xfId="13576" xr:uid="{00000000-0005-0000-0000-0000D2310000}"/>
    <cellStyle name="Normal GHG whole table 2 2 2 4 3 2" xfId="28408" xr:uid="{00000000-0005-0000-0000-0000D3310000}"/>
    <cellStyle name="Normal GHG whole table 2 2 2 5" xfId="4867" xr:uid="{00000000-0005-0000-0000-0000D4310000}"/>
    <cellStyle name="Normal GHG whole table 2 2 2 5 2" xfId="8906" xr:uid="{00000000-0005-0000-0000-0000D5310000}"/>
    <cellStyle name="Normal GHG whole table 2 2 2 5 2 2" xfId="24372" xr:uid="{00000000-0005-0000-0000-0000D6310000}"/>
    <cellStyle name="Normal GHG whole table 2 2 2 5 3" xfId="15190" xr:uid="{00000000-0005-0000-0000-0000D7310000}"/>
    <cellStyle name="Normal GHG whole table 2 2 2 5 3 2" xfId="30022" xr:uid="{00000000-0005-0000-0000-0000D8310000}"/>
    <cellStyle name="Normal GHG whole table 2 2 2 6" xfId="2857" xr:uid="{00000000-0005-0000-0000-0000D9310000}"/>
    <cellStyle name="Normal GHG whole table 2 2 2 6 2" xfId="13195" xr:uid="{00000000-0005-0000-0000-0000DA310000}"/>
    <cellStyle name="Normal GHG whole table 2 2 2 6 2 2" xfId="28027" xr:uid="{00000000-0005-0000-0000-0000DB310000}"/>
    <cellStyle name="Normal GHG whole table 2 2 2 6 3" xfId="20783" xr:uid="{00000000-0005-0000-0000-0000DC310000}"/>
    <cellStyle name="Normal GHG whole table 2 2 2 7" xfId="1889" xr:uid="{00000000-0005-0000-0000-0000DD310000}"/>
    <cellStyle name="Normal GHG whole table 2 2 2 7 2" xfId="6020" xr:uid="{00000000-0005-0000-0000-0000DE310000}"/>
    <cellStyle name="Normal GHG whole table 2 2 2 7 2 2" xfId="22553" xr:uid="{00000000-0005-0000-0000-0000DF310000}"/>
    <cellStyle name="Normal GHG whole table 2 2 2 8" xfId="12075" xr:uid="{00000000-0005-0000-0000-0000E0310000}"/>
    <cellStyle name="Normal GHG whole table 2 2 2 8 2" xfId="26907" xr:uid="{00000000-0005-0000-0000-0000E1310000}"/>
    <cellStyle name="Normal GHG whole table 2 2 3" xfId="3668" xr:uid="{00000000-0005-0000-0000-0000E2310000}"/>
    <cellStyle name="Normal GHG whole table 2 2 3 2" xfId="7726" xr:uid="{00000000-0005-0000-0000-0000E3310000}"/>
    <cellStyle name="Normal GHG whole table 2 2 3 2 2" xfId="23622" xr:uid="{00000000-0005-0000-0000-0000E4310000}"/>
    <cellStyle name="Normal GHG whole table 2 2 3 3" xfId="14003" xr:uid="{00000000-0005-0000-0000-0000E5310000}"/>
    <cellStyle name="Normal GHG whole table 2 2 3 3 2" xfId="28835" xr:uid="{00000000-0005-0000-0000-0000E6310000}"/>
    <cellStyle name="Normal GHG whole table 2 2 4" xfId="4447" xr:uid="{00000000-0005-0000-0000-0000E7310000}"/>
    <cellStyle name="Normal GHG whole table 2 2 4 2" xfId="8486" xr:uid="{00000000-0005-0000-0000-0000E8310000}"/>
    <cellStyle name="Normal GHG whole table 2 2 4 2 2" xfId="24112" xr:uid="{00000000-0005-0000-0000-0000E9310000}"/>
    <cellStyle name="Normal GHG whole table 2 2 4 3" xfId="14775" xr:uid="{00000000-0005-0000-0000-0000EA310000}"/>
    <cellStyle name="Normal GHG whole table 2 2 4 3 2" xfId="29607" xr:uid="{00000000-0005-0000-0000-0000EB310000}"/>
    <cellStyle name="Normal GHG whole table 2 2 5" xfId="2437" xr:uid="{00000000-0005-0000-0000-0000EC310000}"/>
    <cellStyle name="Normal GHG whole table 2 2 5 2" xfId="12776" xr:uid="{00000000-0005-0000-0000-0000ED310000}"/>
    <cellStyle name="Normal GHG whole table 2 2 5 2 2" xfId="27608" xr:uid="{00000000-0005-0000-0000-0000EE310000}"/>
    <cellStyle name="Normal GHG whole table 2 2 5 3" xfId="20529" xr:uid="{00000000-0005-0000-0000-0000EF310000}"/>
    <cellStyle name="Normal GHG whole table 2 2 6" xfId="5561" xr:uid="{00000000-0005-0000-0000-0000F0310000}"/>
    <cellStyle name="Normal GHG whole table 2 2 6 2" xfId="15796" xr:uid="{00000000-0005-0000-0000-0000F1310000}"/>
    <cellStyle name="Normal GHG whole table 2 2 6 2 2" xfId="30628" xr:uid="{00000000-0005-0000-0000-0000F2310000}"/>
    <cellStyle name="Normal GHG whole table 2 2 6 3" xfId="22257" xr:uid="{00000000-0005-0000-0000-0000F3310000}"/>
    <cellStyle name="Normal GHG whole table 2 3" xfId="1557" xr:uid="{00000000-0005-0000-0000-0000F4310000}"/>
    <cellStyle name="Normal GHG whole table 2 3 2" xfId="2054" xr:uid="{00000000-0005-0000-0000-0000F5310000}"/>
    <cellStyle name="Normal GHG whole table 2 3 2 2" xfId="4077" xr:uid="{00000000-0005-0000-0000-0000F6310000}"/>
    <cellStyle name="Normal GHG whole table 2 3 2 2 2" xfId="8123" xr:uid="{00000000-0005-0000-0000-0000F7310000}"/>
    <cellStyle name="Normal GHG whole table 2 3 2 2 2 2" xfId="23874" xr:uid="{00000000-0005-0000-0000-0000F8310000}"/>
    <cellStyle name="Normal GHG whole table 2 3 2 2 3" xfId="14409" xr:uid="{00000000-0005-0000-0000-0000F9310000}"/>
    <cellStyle name="Normal GHG whole table 2 3 2 2 3 2" xfId="29241" xr:uid="{00000000-0005-0000-0000-0000FA310000}"/>
    <cellStyle name="Normal GHG whole table 2 3 2 3" xfId="3395" xr:uid="{00000000-0005-0000-0000-0000FB310000}"/>
    <cellStyle name="Normal GHG whole table 2 3 2 3 2" xfId="7458" xr:uid="{00000000-0005-0000-0000-0000FC310000}"/>
    <cellStyle name="Normal GHG whole table 2 3 2 3 2 2" xfId="23447" xr:uid="{00000000-0005-0000-0000-0000FD310000}"/>
    <cellStyle name="Normal GHG whole table 2 3 2 3 3" xfId="13732" xr:uid="{00000000-0005-0000-0000-0000FE310000}"/>
    <cellStyle name="Normal GHG whole table 2 3 2 3 3 2" xfId="28564" xr:uid="{00000000-0005-0000-0000-0000FF310000}"/>
    <cellStyle name="Normal GHG whole table 2 3 2 4" xfId="5022" xr:uid="{00000000-0005-0000-0000-000000320000}"/>
    <cellStyle name="Normal GHG whole table 2 3 2 4 2" xfId="9061" xr:uid="{00000000-0005-0000-0000-000001320000}"/>
    <cellStyle name="Normal GHG whole table 2 3 2 4 2 2" xfId="24495" xr:uid="{00000000-0005-0000-0000-000002320000}"/>
    <cellStyle name="Normal GHG whole table 2 3 2 4 3" xfId="15343" xr:uid="{00000000-0005-0000-0000-000003320000}"/>
    <cellStyle name="Normal GHG whole table 2 3 2 4 3 2" xfId="30175" xr:uid="{00000000-0005-0000-0000-000004320000}"/>
    <cellStyle name="Normal GHG whole table 2 3 2 5" xfId="3012" xr:uid="{00000000-0005-0000-0000-000005320000}"/>
    <cellStyle name="Normal GHG whole table 2 3 2 5 2" xfId="13350" xr:uid="{00000000-0005-0000-0000-000006320000}"/>
    <cellStyle name="Normal GHG whole table 2 3 2 5 2 2" xfId="28182" xr:uid="{00000000-0005-0000-0000-000007320000}"/>
    <cellStyle name="Normal GHG whole table 2 3 2 5 3" xfId="20906" xr:uid="{00000000-0005-0000-0000-000008320000}"/>
    <cellStyle name="Normal GHG whole table 2 3 3" xfId="3779" xr:uid="{00000000-0005-0000-0000-000009320000}"/>
    <cellStyle name="Normal GHG whole table 2 3 3 2" xfId="7834" xr:uid="{00000000-0005-0000-0000-00000A320000}"/>
    <cellStyle name="Normal GHG whole table 2 3 3 2 2" xfId="23690" xr:uid="{00000000-0005-0000-0000-00000B320000}"/>
    <cellStyle name="Normal GHG whole table 2 3 3 3" xfId="14114" xr:uid="{00000000-0005-0000-0000-00000C320000}"/>
    <cellStyle name="Normal GHG whole table 2 3 3 3 2" xfId="28946" xr:uid="{00000000-0005-0000-0000-00000D320000}"/>
    <cellStyle name="Normal GHG whole table 2 3 4" xfId="4602" xr:uid="{00000000-0005-0000-0000-00000E320000}"/>
    <cellStyle name="Normal GHG whole table 2 3 4 2" xfId="8641" xr:uid="{00000000-0005-0000-0000-00000F320000}"/>
    <cellStyle name="Normal GHG whole table 2 3 4 2 2" xfId="24235" xr:uid="{00000000-0005-0000-0000-000010320000}"/>
    <cellStyle name="Normal GHG whole table 2 3 4 3" xfId="14928" xr:uid="{00000000-0005-0000-0000-000011320000}"/>
    <cellStyle name="Normal GHG whole table 2 3 4 3 2" xfId="29760" xr:uid="{00000000-0005-0000-0000-000012320000}"/>
    <cellStyle name="Normal GHG whole table 2 3 5" xfId="2592" xr:uid="{00000000-0005-0000-0000-000013320000}"/>
    <cellStyle name="Normal GHG whole table 2 3 5 2" xfId="12930" xr:uid="{00000000-0005-0000-0000-000014320000}"/>
    <cellStyle name="Normal GHG whole table 2 3 5 2 2" xfId="27762" xr:uid="{00000000-0005-0000-0000-000015320000}"/>
    <cellStyle name="Normal GHG whole table 2 3 5 3" xfId="20646" xr:uid="{00000000-0005-0000-0000-000016320000}"/>
    <cellStyle name="Normal GHG whole table 2 3 6" xfId="1702" xr:uid="{00000000-0005-0000-0000-000017320000}"/>
    <cellStyle name="Normal GHG whole table 2 3 6 2" xfId="5834" xr:uid="{00000000-0005-0000-0000-000018320000}"/>
    <cellStyle name="Normal GHG whole table 2 3 6 2 2" xfId="22431" xr:uid="{00000000-0005-0000-0000-000019320000}"/>
    <cellStyle name="Normal GHG whole table 2 3 6 3" xfId="12096" xr:uid="{00000000-0005-0000-0000-00001A320000}"/>
    <cellStyle name="Normal GHG whole table 2 3 6 3 2" xfId="26928" xr:uid="{00000000-0005-0000-0000-00001B320000}"/>
    <cellStyle name="Normal GHG whole table 2 4" xfId="1610" xr:uid="{00000000-0005-0000-0000-00001C320000}"/>
    <cellStyle name="Normal GHG whole table 2 4 2" xfId="2107" xr:uid="{00000000-0005-0000-0000-00001D320000}"/>
    <cellStyle name="Normal GHG whole table 2 4 2 2" xfId="4117" xr:uid="{00000000-0005-0000-0000-00001E320000}"/>
    <cellStyle name="Normal GHG whole table 2 4 2 2 2" xfId="8162" xr:uid="{00000000-0005-0000-0000-00001F320000}"/>
    <cellStyle name="Normal GHG whole table 2 4 2 2 2 2" xfId="23900" xr:uid="{00000000-0005-0000-0000-000020320000}"/>
    <cellStyle name="Normal GHG whole table 2 4 2 2 3" xfId="14449" xr:uid="{00000000-0005-0000-0000-000021320000}"/>
    <cellStyle name="Normal GHG whole table 2 4 2 2 3 2" xfId="29281" xr:uid="{00000000-0005-0000-0000-000022320000}"/>
    <cellStyle name="Normal GHG whole table 2 4 2 3" xfId="3840" xr:uid="{00000000-0005-0000-0000-000023320000}"/>
    <cellStyle name="Normal GHG whole table 2 4 2 3 2" xfId="7893" xr:uid="{00000000-0005-0000-0000-000024320000}"/>
    <cellStyle name="Normal GHG whole table 2 4 2 3 2 2" xfId="23730" xr:uid="{00000000-0005-0000-0000-000025320000}"/>
    <cellStyle name="Normal GHG whole table 2 4 2 3 3" xfId="14175" xr:uid="{00000000-0005-0000-0000-000026320000}"/>
    <cellStyle name="Normal GHG whole table 2 4 2 3 3 2" xfId="29007" xr:uid="{00000000-0005-0000-0000-000027320000}"/>
    <cellStyle name="Normal GHG whole table 2 4 2 4" xfId="5075" xr:uid="{00000000-0005-0000-0000-000028320000}"/>
    <cellStyle name="Normal GHG whole table 2 4 2 4 2" xfId="9114" xr:uid="{00000000-0005-0000-0000-000029320000}"/>
    <cellStyle name="Normal GHG whole table 2 4 2 4 2 2" xfId="24516" xr:uid="{00000000-0005-0000-0000-00002A320000}"/>
    <cellStyle name="Normal GHG whole table 2 4 2 4 3" xfId="15395" xr:uid="{00000000-0005-0000-0000-00002B320000}"/>
    <cellStyle name="Normal GHG whole table 2 4 2 4 3 2" xfId="30227" xr:uid="{00000000-0005-0000-0000-00002C320000}"/>
    <cellStyle name="Normal GHG whole table 2 4 2 5" xfId="3065" xr:uid="{00000000-0005-0000-0000-00002D320000}"/>
    <cellStyle name="Normal GHG whole table 2 4 2 5 2" xfId="13403" xr:uid="{00000000-0005-0000-0000-00002E320000}"/>
    <cellStyle name="Normal GHG whole table 2 4 2 5 2 2" xfId="28235" xr:uid="{00000000-0005-0000-0000-00002F320000}"/>
    <cellStyle name="Normal GHG whole table 2 4 2 5 3" xfId="20927" xr:uid="{00000000-0005-0000-0000-000030320000}"/>
    <cellStyle name="Normal GHG whole table 2 4 3" xfId="3817" xr:uid="{00000000-0005-0000-0000-000031320000}"/>
    <cellStyle name="Normal GHG whole table 2 4 3 2" xfId="7870" xr:uid="{00000000-0005-0000-0000-000032320000}"/>
    <cellStyle name="Normal GHG whole table 2 4 3 2 2" xfId="23717" xr:uid="{00000000-0005-0000-0000-000033320000}"/>
    <cellStyle name="Normal GHG whole table 2 4 3 3" xfId="14152" xr:uid="{00000000-0005-0000-0000-000034320000}"/>
    <cellStyle name="Normal GHG whole table 2 4 3 3 2" xfId="28984" xr:uid="{00000000-0005-0000-0000-000035320000}"/>
    <cellStyle name="Normal GHG whole table 2 4 4" xfId="4655" xr:uid="{00000000-0005-0000-0000-000036320000}"/>
    <cellStyle name="Normal GHG whole table 2 4 4 2" xfId="8694" xr:uid="{00000000-0005-0000-0000-000037320000}"/>
    <cellStyle name="Normal GHG whole table 2 4 4 2 2" xfId="24256" xr:uid="{00000000-0005-0000-0000-000038320000}"/>
    <cellStyle name="Normal GHG whole table 2 4 4 3" xfId="14980" xr:uid="{00000000-0005-0000-0000-000039320000}"/>
    <cellStyle name="Normal GHG whole table 2 4 4 3 2" xfId="29812" xr:uid="{00000000-0005-0000-0000-00003A320000}"/>
    <cellStyle name="Normal GHG whole table 2 4 5" xfId="2645" xr:uid="{00000000-0005-0000-0000-00003B320000}"/>
    <cellStyle name="Normal GHG whole table 2 4 5 2" xfId="12983" xr:uid="{00000000-0005-0000-0000-00003C320000}"/>
    <cellStyle name="Normal GHG whole table 2 4 5 2 2" xfId="27815" xr:uid="{00000000-0005-0000-0000-00003D320000}"/>
    <cellStyle name="Normal GHG whole table 2 4 5 3" xfId="20667" xr:uid="{00000000-0005-0000-0000-00003E320000}"/>
    <cellStyle name="Normal GHG whole table 2 4 6" xfId="1707" xr:uid="{00000000-0005-0000-0000-00003F320000}"/>
    <cellStyle name="Normal GHG whole table 2 4 6 2" xfId="5839" xr:uid="{00000000-0005-0000-0000-000040320000}"/>
    <cellStyle name="Normal GHG whole table 2 4 6 2 2" xfId="22436" xr:uid="{00000000-0005-0000-0000-000041320000}"/>
    <cellStyle name="Normal GHG whole table 2 4 6 3" xfId="12101" xr:uid="{00000000-0005-0000-0000-000042320000}"/>
    <cellStyle name="Normal GHG whole table 2 4 6 3 2" xfId="26933" xr:uid="{00000000-0005-0000-0000-000043320000}"/>
    <cellStyle name="Normal GHG whole table 2 5" xfId="1660" xr:uid="{00000000-0005-0000-0000-000044320000}"/>
    <cellStyle name="Normal GHG whole table 2 5 2" xfId="2157" xr:uid="{00000000-0005-0000-0000-000045320000}"/>
    <cellStyle name="Normal GHG whole table 2 5 2 2" xfId="4155" xr:uid="{00000000-0005-0000-0000-000046320000}"/>
    <cellStyle name="Normal GHG whole table 2 5 2 2 2" xfId="8197" xr:uid="{00000000-0005-0000-0000-000047320000}"/>
    <cellStyle name="Normal GHG whole table 2 5 2 2 2 2" xfId="23924" xr:uid="{00000000-0005-0000-0000-000048320000}"/>
    <cellStyle name="Normal GHG whole table 2 5 2 2 3" xfId="14487" xr:uid="{00000000-0005-0000-0000-000049320000}"/>
    <cellStyle name="Normal GHG whole table 2 5 2 2 3 2" xfId="29319" xr:uid="{00000000-0005-0000-0000-00004A320000}"/>
    <cellStyle name="Normal GHG whole table 2 5 2 3" xfId="3700" xr:uid="{00000000-0005-0000-0000-00004B320000}"/>
    <cellStyle name="Normal GHG whole table 2 5 2 3 2" xfId="7756" xr:uid="{00000000-0005-0000-0000-00004C320000}"/>
    <cellStyle name="Normal GHG whole table 2 5 2 3 2 2" xfId="23640" xr:uid="{00000000-0005-0000-0000-00004D320000}"/>
    <cellStyle name="Normal GHG whole table 2 5 2 3 3" xfId="14035" xr:uid="{00000000-0005-0000-0000-00004E320000}"/>
    <cellStyle name="Normal GHG whole table 2 5 2 3 3 2" xfId="28867" xr:uid="{00000000-0005-0000-0000-00004F320000}"/>
    <cellStyle name="Normal GHG whole table 2 5 2 4" xfId="5125" xr:uid="{00000000-0005-0000-0000-000050320000}"/>
    <cellStyle name="Normal GHG whole table 2 5 2 4 2" xfId="9164" xr:uid="{00000000-0005-0000-0000-000051320000}"/>
    <cellStyle name="Normal GHG whole table 2 5 2 4 2 2" xfId="24534" xr:uid="{00000000-0005-0000-0000-000052320000}"/>
    <cellStyle name="Normal GHG whole table 2 5 2 4 3" xfId="15444" xr:uid="{00000000-0005-0000-0000-000053320000}"/>
    <cellStyle name="Normal GHG whole table 2 5 2 4 3 2" xfId="30276" xr:uid="{00000000-0005-0000-0000-000054320000}"/>
    <cellStyle name="Normal GHG whole table 2 5 2 5" xfId="3115" xr:uid="{00000000-0005-0000-0000-000055320000}"/>
    <cellStyle name="Normal GHG whole table 2 5 2 5 2" xfId="13453" xr:uid="{00000000-0005-0000-0000-000056320000}"/>
    <cellStyle name="Normal GHG whole table 2 5 2 5 2 2" xfId="28285" xr:uid="{00000000-0005-0000-0000-000057320000}"/>
    <cellStyle name="Normal GHG whole table 2 5 2 5 3" xfId="20945" xr:uid="{00000000-0005-0000-0000-000058320000}"/>
    <cellStyle name="Normal GHG whole table 2 5 3" xfId="3855" xr:uid="{00000000-0005-0000-0000-000059320000}"/>
    <cellStyle name="Normal GHG whole table 2 5 3 2" xfId="7907" xr:uid="{00000000-0005-0000-0000-00005A320000}"/>
    <cellStyle name="Normal GHG whole table 2 5 3 2 2" xfId="23743" xr:uid="{00000000-0005-0000-0000-00005B320000}"/>
    <cellStyle name="Normal GHG whole table 2 5 3 3" xfId="14190" xr:uid="{00000000-0005-0000-0000-00005C320000}"/>
    <cellStyle name="Normal GHG whole table 2 5 3 3 2" xfId="29022" xr:uid="{00000000-0005-0000-0000-00005D320000}"/>
    <cellStyle name="Normal GHG whole table 2 5 4" xfId="4705" xr:uid="{00000000-0005-0000-0000-00005E320000}"/>
    <cellStyle name="Normal GHG whole table 2 5 4 2" xfId="8744" xr:uid="{00000000-0005-0000-0000-00005F320000}"/>
    <cellStyle name="Normal GHG whole table 2 5 4 2 2" xfId="24274" xr:uid="{00000000-0005-0000-0000-000060320000}"/>
    <cellStyle name="Normal GHG whole table 2 5 4 3" xfId="15029" xr:uid="{00000000-0005-0000-0000-000061320000}"/>
    <cellStyle name="Normal GHG whole table 2 5 4 3 2" xfId="29861" xr:uid="{00000000-0005-0000-0000-000062320000}"/>
    <cellStyle name="Normal GHG whole table 2 5 5" xfId="2695" xr:uid="{00000000-0005-0000-0000-000063320000}"/>
    <cellStyle name="Normal GHG whole table 2 5 5 2" xfId="13033" xr:uid="{00000000-0005-0000-0000-000064320000}"/>
    <cellStyle name="Normal GHG whole table 2 5 5 2 2" xfId="27865" xr:uid="{00000000-0005-0000-0000-000065320000}"/>
    <cellStyle name="Normal GHG whole table 2 5 5 3" xfId="20685" xr:uid="{00000000-0005-0000-0000-000066320000}"/>
    <cellStyle name="Normal GHG whole table 2 5 6" xfId="1712" xr:uid="{00000000-0005-0000-0000-000067320000}"/>
    <cellStyle name="Normal GHG whole table 2 5 6 2" xfId="5844" xr:uid="{00000000-0005-0000-0000-000068320000}"/>
    <cellStyle name="Normal GHG whole table 2 5 6 2 2" xfId="22441" xr:uid="{00000000-0005-0000-0000-000069320000}"/>
    <cellStyle name="Normal GHG whole table 2 5 6 3" xfId="12106" xr:uid="{00000000-0005-0000-0000-00006A320000}"/>
    <cellStyle name="Normal GHG whole table 2 5 6 3 2" xfId="26938" xr:uid="{00000000-0005-0000-0000-00006B320000}"/>
    <cellStyle name="Normal GHG whole table 2 6" xfId="1670" xr:uid="{00000000-0005-0000-0000-00006C320000}"/>
    <cellStyle name="Normal GHG whole table 2 6 2" xfId="4357" xr:uid="{00000000-0005-0000-0000-00006D320000}"/>
    <cellStyle name="Normal GHG whole table 2 6 2 2" xfId="8396" xr:uid="{00000000-0005-0000-0000-00006E320000}"/>
    <cellStyle name="Normal GHG whole table 2 6 2 2 2" xfId="24054" xr:uid="{00000000-0005-0000-0000-00006F320000}"/>
    <cellStyle name="Normal GHG whole table 2 6 2 3" xfId="14686" xr:uid="{00000000-0005-0000-0000-000070320000}"/>
    <cellStyle name="Normal GHG whole table 2 6 2 3 2" xfId="29518" xr:uid="{00000000-0005-0000-0000-000071320000}"/>
    <cellStyle name="Normal GHG whole table 2 6 3" xfId="5221" xr:uid="{00000000-0005-0000-0000-000072320000}"/>
    <cellStyle name="Normal GHG whole table 2 6 3 2" xfId="9260" xr:uid="{00000000-0005-0000-0000-000073320000}"/>
    <cellStyle name="Normal GHG whole table 2 6 3 2 2" xfId="24598" xr:uid="{00000000-0005-0000-0000-000074320000}"/>
    <cellStyle name="Normal GHG whole table 2 6 3 3" xfId="15537" xr:uid="{00000000-0005-0000-0000-000075320000}"/>
    <cellStyle name="Normal GHG whole table 2 6 3 3 2" xfId="30369" xr:uid="{00000000-0005-0000-0000-000076320000}"/>
    <cellStyle name="Normal GHG whole table 2 6 4" xfId="4251" xr:uid="{00000000-0005-0000-0000-000077320000}"/>
    <cellStyle name="Normal GHG whole table 2 6 4 2" xfId="8290" xr:uid="{00000000-0005-0000-0000-000078320000}"/>
    <cellStyle name="Normal GHG whole table 2 6 4 2 2" xfId="23985" xr:uid="{00000000-0005-0000-0000-000079320000}"/>
    <cellStyle name="Normal GHG whole table 2 6 4 3" xfId="14583" xr:uid="{00000000-0005-0000-0000-00007A320000}"/>
    <cellStyle name="Normal GHG whole table 2 6 4 3 2" xfId="29415" xr:uid="{00000000-0005-0000-0000-00007B320000}"/>
    <cellStyle name="Normal GHG whole table 2 6 5" xfId="2253" xr:uid="{00000000-0005-0000-0000-00007C320000}"/>
    <cellStyle name="Normal GHG whole table 2 6 5 2" xfId="6365" xr:uid="{00000000-0005-0000-0000-00007D320000}"/>
    <cellStyle name="Normal GHG whole table 2 6 5 2 2" xfId="22767" xr:uid="{00000000-0005-0000-0000-00007E320000}"/>
    <cellStyle name="Normal GHG whole table 2 6 6" xfId="5812" xr:uid="{00000000-0005-0000-0000-00007F320000}"/>
    <cellStyle name="Normal GHG whole table 2 6 6 2" xfId="22410" xr:uid="{00000000-0005-0000-0000-000080320000}"/>
    <cellStyle name="Normal GHG whole table 2 6 7" xfId="12065" xr:uid="{00000000-0005-0000-0000-000081320000}"/>
    <cellStyle name="Normal GHG whole table 2 6 7 2" xfId="26897" xr:uid="{00000000-0005-0000-0000-000082320000}"/>
    <cellStyle name="Normal GHG whole table 2 7" xfId="3617" xr:uid="{00000000-0005-0000-0000-000083320000}"/>
    <cellStyle name="Normal GHG whole table 2 7 2" xfId="7677" xr:uid="{00000000-0005-0000-0000-000084320000}"/>
    <cellStyle name="Normal GHG whole table 2 7 2 2" xfId="23587" xr:uid="{00000000-0005-0000-0000-000085320000}"/>
    <cellStyle name="Normal GHG whole table 2 7 3" xfId="13952" xr:uid="{00000000-0005-0000-0000-000086320000}"/>
    <cellStyle name="Normal GHG whole table 2 7 3 2" xfId="28784" xr:uid="{00000000-0005-0000-0000-000087320000}"/>
    <cellStyle name="Normal GHG whole table 2 8" xfId="3365" xr:uid="{00000000-0005-0000-0000-000088320000}"/>
    <cellStyle name="Normal GHG whole table 2 8 2" xfId="7428" xr:uid="{00000000-0005-0000-0000-000089320000}"/>
    <cellStyle name="Normal GHG whole table 2 8 2 2" xfId="23429" xr:uid="{00000000-0005-0000-0000-00008A320000}"/>
    <cellStyle name="Normal GHG whole table 2 8 3" xfId="13702" xr:uid="{00000000-0005-0000-0000-00008B320000}"/>
    <cellStyle name="Normal GHG whole table 2 8 3 2" xfId="28534" xr:uid="{00000000-0005-0000-0000-00008C320000}"/>
    <cellStyle name="Normal GHG whole table 2 9" xfId="2353" xr:uid="{00000000-0005-0000-0000-00008D320000}"/>
    <cellStyle name="Normal GHG whole table 2 9 2" xfId="6465" xr:uid="{00000000-0005-0000-0000-00008E320000}"/>
    <cellStyle name="Normal GHG whole table 2 9 2 2" xfId="22835" xr:uid="{00000000-0005-0000-0000-00008F320000}"/>
    <cellStyle name="Normal GHG whole table 2 9 3" xfId="12692" xr:uid="{00000000-0005-0000-0000-000090320000}"/>
    <cellStyle name="Normal GHG whole table 2 9 3 2" xfId="27524" xr:uid="{00000000-0005-0000-0000-000091320000}"/>
    <cellStyle name="Normal GHG whole table 3" xfId="1500" xr:uid="{00000000-0005-0000-0000-000092320000}"/>
    <cellStyle name="Normal GHG whole table 3 2" xfId="1675" xr:uid="{00000000-0005-0000-0000-000093320000}"/>
    <cellStyle name="Normal GHG whole table 3 2 2" xfId="2258" xr:uid="{00000000-0005-0000-0000-000094320000}"/>
    <cellStyle name="Normal GHG whole table 3 2 2 2" xfId="4362" xr:uid="{00000000-0005-0000-0000-000095320000}"/>
    <cellStyle name="Normal GHG whole table 3 2 2 2 2" xfId="8401" xr:uid="{00000000-0005-0000-0000-000096320000}"/>
    <cellStyle name="Normal GHG whole table 3 2 2 2 2 2" xfId="24059" xr:uid="{00000000-0005-0000-0000-000097320000}"/>
    <cellStyle name="Normal GHG whole table 3 2 2 2 3" xfId="14691" xr:uid="{00000000-0005-0000-0000-000098320000}"/>
    <cellStyle name="Normal GHG whole table 3 2 2 2 3 2" xfId="29523" xr:uid="{00000000-0005-0000-0000-000099320000}"/>
    <cellStyle name="Normal GHG whole table 3 2 2 3" xfId="5226" xr:uid="{00000000-0005-0000-0000-00009A320000}"/>
    <cellStyle name="Normal GHG whole table 3 2 2 3 2" xfId="9265" xr:uid="{00000000-0005-0000-0000-00009B320000}"/>
    <cellStyle name="Normal GHG whole table 3 2 2 3 2 2" xfId="24603" xr:uid="{00000000-0005-0000-0000-00009C320000}"/>
    <cellStyle name="Normal GHG whole table 3 2 2 3 3" xfId="15542" xr:uid="{00000000-0005-0000-0000-00009D320000}"/>
    <cellStyle name="Normal GHG whole table 3 2 2 3 3 2" xfId="30374" xr:uid="{00000000-0005-0000-0000-00009E320000}"/>
    <cellStyle name="Normal GHG whole table 3 2 2 4" xfId="4256" xr:uid="{00000000-0005-0000-0000-00009F320000}"/>
    <cellStyle name="Normal GHG whole table 3 2 2 4 2" xfId="8295" xr:uid="{00000000-0005-0000-0000-0000A0320000}"/>
    <cellStyle name="Normal GHG whole table 3 2 2 4 2 2" xfId="23990" xr:uid="{00000000-0005-0000-0000-0000A1320000}"/>
    <cellStyle name="Normal GHG whole table 3 2 2 4 3" xfId="14588" xr:uid="{00000000-0005-0000-0000-0000A2320000}"/>
    <cellStyle name="Normal GHG whole table 3 2 2 4 3 2" xfId="29420" xr:uid="{00000000-0005-0000-0000-0000A3320000}"/>
    <cellStyle name="Normal GHG whole table 3 2 2 5" xfId="6370" xr:uid="{00000000-0005-0000-0000-0000A4320000}"/>
    <cellStyle name="Normal GHG whole table 3 2 2 5 2" xfId="22772" xr:uid="{00000000-0005-0000-0000-0000A5320000}"/>
    <cellStyle name="Normal GHG whole table 3 2 3" xfId="4032" xr:uid="{00000000-0005-0000-0000-0000A6320000}"/>
    <cellStyle name="Normal GHG whole table 3 2 3 2" xfId="8079" xr:uid="{00000000-0005-0000-0000-0000A7320000}"/>
    <cellStyle name="Normal GHG whole table 3 2 3 2 2" xfId="23848" xr:uid="{00000000-0005-0000-0000-0000A8320000}"/>
    <cellStyle name="Normal GHG whole table 3 2 3 3" xfId="14364" xr:uid="{00000000-0005-0000-0000-0000A9320000}"/>
    <cellStyle name="Normal GHG whole table 3 2 3 3 2" xfId="29196" xr:uid="{00000000-0005-0000-0000-0000AA320000}"/>
    <cellStyle name="Normal GHG whole table 3 2 4" xfId="4147" xr:uid="{00000000-0005-0000-0000-0000AB320000}"/>
    <cellStyle name="Normal GHG whole table 3 2 4 2" xfId="14479" xr:uid="{00000000-0005-0000-0000-0000AC320000}"/>
    <cellStyle name="Normal GHG whole table 3 2 4 2 2" xfId="29311" xr:uid="{00000000-0005-0000-0000-0000AD320000}"/>
    <cellStyle name="Normal GHG whole table 3 2 4 3" xfId="21546" xr:uid="{00000000-0005-0000-0000-0000AE320000}"/>
    <cellStyle name="Normal GHG whole table 3 2 5" xfId="4965" xr:uid="{00000000-0005-0000-0000-0000AF320000}"/>
    <cellStyle name="Normal GHG whole table 3 2 5 2" xfId="9004" xr:uid="{00000000-0005-0000-0000-0000B0320000}"/>
    <cellStyle name="Normal GHG whole table 3 2 5 2 2" xfId="24470" xr:uid="{00000000-0005-0000-0000-0000B1320000}"/>
    <cellStyle name="Normal GHG whole table 3 2 5 3" xfId="15287" xr:uid="{00000000-0005-0000-0000-0000B2320000}"/>
    <cellStyle name="Normal GHG whole table 3 2 5 3 2" xfId="30119" xr:uid="{00000000-0005-0000-0000-0000B3320000}"/>
    <cellStyle name="Normal GHG whole table 3 2 6" xfId="2955" xr:uid="{00000000-0005-0000-0000-0000B4320000}"/>
    <cellStyle name="Normal GHG whole table 3 2 6 2" xfId="13293" xr:uid="{00000000-0005-0000-0000-0000B5320000}"/>
    <cellStyle name="Normal GHG whole table 3 2 6 2 2" xfId="28125" xr:uid="{00000000-0005-0000-0000-0000B6320000}"/>
    <cellStyle name="Normal GHG whole table 3 2 6 3" xfId="20881" xr:uid="{00000000-0005-0000-0000-0000B7320000}"/>
    <cellStyle name="Normal GHG whole table 3 2 7" xfId="12070" xr:uid="{00000000-0005-0000-0000-0000B8320000}"/>
    <cellStyle name="Normal GHG whole table 3 2 7 2" xfId="26902" xr:uid="{00000000-0005-0000-0000-0000B9320000}"/>
    <cellStyle name="Normal GHG whole table 3 3" xfId="2243" xr:uid="{00000000-0005-0000-0000-0000BA320000}"/>
    <cellStyle name="Normal GHG whole table 3 3 2" xfId="4347" xr:uid="{00000000-0005-0000-0000-0000BB320000}"/>
    <cellStyle name="Normal GHG whole table 3 3 2 2" xfId="8386" xr:uid="{00000000-0005-0000-0000-0000BC320000}"/>
    <cellStyle name="Normal GHG whole table 3 3 2 2 2" xfId="24044" xr:uid="{00000000-0005-0000-0000-0000BD320000}"/>
    <cellStyle name="Normal GHG whole table 3 3 2 3" xfId="14676" xr:uid="{00000000-0005-0000-0000-0000BE320000}"/>
    <cellStyle name="Normal GHG whole table 3 3 2 3 2" xfId="29508" xr:uid="{00000000-0005-0000-0000-0000BF320000}"/>
    <cellStyle name="Normal GHG whole table 3 3 3" xfId="5211" xr:uid="{00000000-0005-0000-0000-0000C0320000}"/>
    <cellStyle name="Normal GHG whole table 3 3 3 2" xfId="9250" xr:uid="{00000000-0005-0000-0000-0000C1320000}"/>
    <cellStyle name="Normal GHG whole table 3 3 3 2 2" xfId="24588" xr:uid="{00000000-0005-0000-0000-0000C2320000}"/>
    <cellStyle name="Normal GHG whole table 3 3 3 3" xfId="15527" xr:uid="{00000000-0005-0000-0000-0000C3320000}"/>
    <cellStyle name="Normal GHG whole table 3 3 3 3 2" xfId="30359" xr:uid="{00000000-0005-0000-0000-0000C4320000}"/>
    <cellStyle name="Normal GHG whole table 3 3 4" xfId="4241" xr:uid="{00000000-0005-0000-0000-0000C5320000}"/>
    <cellStyle name="Normal GHG whole table 3 3 4 2" xfId="8280" xr:uid="{00000000-0005-0000-0000-0000C6320000}"/>
    <cellStyle name="Normal GHG whole table 3 3 4 2 2" xfId="23975" xr:uid="{00000000-0005-0000-0000-0000C7320000}"/>
    <cellStyle name="Normal GHG whole table 3 3 4 3" xfId="14573" xr:uid="{00000000-0005-0000-0000-0000C8320000}"/>
    <cellStyle name="Normal GHG whole table 3 3 4 3 2" xfId="29405" xr:uid="{00000000-0005-0000-0000-0000C9320000}"/>
    <cellStyle name="Normal GHG whole table 3 3 5" xfId="6355" xr:uid="{00000000-0005-0000-0000-0000CA320000}"/>
    <cellStyle name="Normal GHG whole table 3 3 5 2" xfId="22757" xr:uid="{00000000-0005-0000-0000-0000CB320000}"/>
    <cellStyle name="Normal GHG whole table 3 4" xfId="3736" xr:uid="{00000000-0005-0000-0000-0000CC320000}"/>
    <cellStyle name="Normal GHG whole table 3 4 2" xfId="7792" xr:uid="{00000000-0005-0000-0000-0000CD320000}"/>
    <cellStyle name="Normal GHG whole table 3 4 2 2" xfId="23666" xr:uid="{00000000-0005-0000-0000-0000CE320000}"/>
    <cellStyle name="Normal GHG whole table 3 4 3" xfId="14071" xr:uid="{00000000-0005-0000-0000-0000CF320000}"/>
    <cellStyle name="Normal GHG whole table 3 4 3 2" xfId="28903" xr:uid="{00000000-0005-0000-0000-0000D0320000}"/>
    <cellStyle name="Normal GHG whole table 3 5" xfId="3625" xr:uid="{00000000-0005-0000-0000-0000D1320000}"/>
    <cellStyle name="Normal GHG whole table 3 5 2" xfId="13960" xr:uid="{00000000-0005-0000-0000-0000D2320000}"/>
    <cellStyle name="Normal GHG whole table 3 5 2 2" xfId="28792" xr:uid="{00000000-0005-0000-0000-0000D3320000}"/>
    <cellStyle name="Normal GHG whole table 3 5 3" xfId="21258" xr:uid="{00000000-0005-0000-0000-0000D4320000}"/>
    <cellStyle name="Normal GHG whole table 3 6" xfId="4545" xr:uid="{00000000-0005-0000-0000-0000D5320000}"/>
    <cellStyle name="Normal GHG whole table 3 6 2" xfId="8584" xr:uid="{00000000-0005-0000-0000-0000D6320000}"/>
    <cellStyle name="Normal GHG whole table 3 6 2 2" xfId="24210" xr:uid="{00000000-0005-0000-0000-0000D7320000}"/>
    <cellStyle name="Normal GHG whole table 3 6 3" xfId="14872" xr:uid="{00000000-0005-0000-0000-0000D8320000}"/>
    <cellStyle name="Normal GHG whole table 3 6 3 2" xfId="29704" xr:uid="{00000000-0005-0000-0000-0000D9320000}"/>
    <cellStyle name="Normal GHG whole table 3 7" xfId="2535" xr:uid="{00000000-0005-0000-0000-0000DA320000}"/>
    <cellStyle name="Normal GHG whole table 3 7 2" xfId="6641" xr:uid="{00000000-0005-0000-0000-0000DB320000}"/>
    <cellStyle name="Normal GHG whole table 3 7 2 2" xfId="22979" xr:uid="{00000000-0005-0000-0000-0000DC320000}"/>
    <cellStyle name="Normal GHG whole table 3 7 3" xfId="12873" xr:uid="{00000000-0005-0000-0000-0000DD320000}"/>
    <cellStyle name="Normal GHG whole table 3 7 3 2" xfId="27705" xr:uid="{00000000-0005-0000-0000-0000DE320000}"/>
    <cellStyle name="Normal GHG whole table 3 8" xfId="1697" xr:uid="{00000000-0005-0000-0000-0000DF320000}"/>
    <cellStyle name="Normal GHG whole table 3 8 2" xfId="5829" xr:uid="{00000000-0005-0000-0000-0000E0320000}"/>
    <cellStyle name="Normal GHG whole table 3 8 2 2" xfId="22426" xr:uid="{00000000-0005-0000-0000-0000E1320000}"/>
    <cellStyle name="Normal GHG whole table 3 8 3" xfId="12091" xr:uid="{00000000-0005-0000-0000-0000E2320000}"/>
    <cellStyle name="Normal GHG whole table 3 8 3 2" xfId="26923" xr:uid="{00000000-0005-0000-0000-0000E3320000}"/>
    <cellStyle name="Normal GHG whole table 3 9" xfId="5658" xr:uid="{00000000-0005-0000-0000-0000E4320000}"/>
    <cellStyle name="Normal GHG whole table 3 9 2" xfId="15893" xr:uid="{00000000-0005-0000-0000-0000E5320000}"/>
    <cellStyle name="Normal GHG whole table 3 9 2 2" xfId="30725" xr:uid="{00000000-0005-0000-0000-0000E6320000}"/>
    <cellStyle name="Normal GHG whole table 3 9 3" xfId="22354" xr:uid="{00000000-0005-0000-0000-0000E7320000}"/>
    <cellStyle name="Normal GHG whole table 4" xfId="1665" xr:uid="{00000000-0005-0000-0000-0000E8320000}"/>
    <cellStyle name="Normal GHG whole table 4 2" xfId="4352" xr:uid="{00000000-0005-0000-0000-0000E9320000}"/>
    <cellStyle name="Normal GHG whole table 4 2 2" xfId="8391" xr:uid="{00000000-0005-0000-0000-0000EA320000}"/>
    <cellStyle name="Normal GHG whole table 4 2 2 2" xfId="24049" xr:uid="{00000000-0005-0000-0000-0000EB320000}"/>
    <cellStyle name="Normal GHG whole table 4 2 3" xfId="14681" xr:uid="{00000000-0005-0000-0000-0000EC320000}"/>
    <cellStyle name="Normal GHG whole table 4 2 3 2" xfId="29513" xr:uid="{00000000-0005-0000-0000-0000ED320000}"/>
    <cellStyle name="Normal GHG whole table 4 3" xfId="5216" xr:uid="{00000000-0005-0000-0000-0000EE320000}"/>
    <cellStyle name="Normal GHG whole table 4 3 2" xfId="9255" xr:uid="{00000000-0005-0000-0000-0000EF320000}"/>
    <cellStyle name="Normal GHG whole table 4 3 2 2" xfId="24593" xr:uid="{00000000-0005-0000-0000-0000F0320000}"/>
    <cellStyle name="Normal GHG whole table 4 3 3" xfId="15532" xr:uid="{00000000-0005-0000-0000-0000F1320000}"/>
    <cellStyle name="Normal GHG whole table 4 3 3 2" xfId="30364" xr:uid="{00000000-0005-0000-0000-0000F2320000}"/>
    <cellStyle name="Normal GHG whole table 4 4" xfId="4246" xr:uid="{00000000-0005-0000-0000-0000F3320000}"/>
    <cellStyle name="Normal GHG whole table 4 4 2" xfId="8285" xr:uid="{00000000-0005-0000-0000-0000F4320000}"/>
    <cellStyle name="Normal GHG whole table 4 4 2 2" xfId="23980" xr:uid="{00000000-0005-0000-0000-0000F5320000}"/>
    <cellStyle name="Normal GHG whole table 4 4 3" xfId="14578" xr:uid="{00000000-0005-0000-0000-0000F6320000}"/>
    <cellStyle name="Normal GHG whole table 4 4 3 2" xfId="29410" xr:uid="{00000000-0005-0000-0000-0000F7320000}"/>
    <cellStyle name="Normal GHG whole table 4 5" xfId="2248" xr:uid="{00000000-0005-0000-0000-0000F8320000}"/>
    <cellStyle name="Normal GHG whole table 4 5 2" xfId="6360" xr:uid="{00000000-0005-0000-0000-0000F9320000}"/>
    <cellStyle name="Normal GHG whole table 4 5 2 2" xfId="22762" xr:uid="{00000000-0005-0000-0000-0000FA320000}"/>
    <cellStyle name="Normal GHG whole table 4 6" xfId="5807" xr:uid="{00000000-0005-0000-0000-0000FB320000}"/>
    <cellStyle name="Normal GHG whole table 4 6 2" xfId="22405" xr:uid="{00000000-0005-0000-0000-0000FC320000}"/>
    <cellStyle name="Normal GHG whole table 4 7" xfId="12060" xr:uid="{00000000-0005-0000-0000-0000FD320000}"/>
    <cellStyle name="Normal GHG whole table 4 7 2" xfId="26892" xr:uid="{00000000-0005-0000-0000-0000FE320000}"/>
    <cellStyle name="Normal GHG whole table 5" xfId="3551" xr:uid="{00000000-0005-0000-0000-0000FF320000}"/>
    <cellStyle name="Normal GHG whole table 5 2" xfId="7613" xr:uid="{00000000-0005-0000-0000-000000330000}"/>
    <cellStyle name="Normal GHG whole table 5 2 2" xfId="23548" xr:uid="{00000000-0005-0000-0000-000001330000}"/>
    <cellStyle name="Normal GHG whole table 5 3" xfId="13887" xr:uid="{00000000-0005-0000-0000-000002330000}"/>
    <cellStyle name="Normal GHG whole table 5 3 2" xfId="28719" xr:uid="{00000000-0005-0000-0000-000003330000}"/>
    <cellStyle name="Normal GHG whole table 6" xfId="4315" xr:uid="{00000000-0005-0000-0000-000004330000}"/>
    <cellStyle name="Normal GHG whole table 6 2" xfId="8354" xr:uid="{00000000-0005-0000-0000-000005330000}"/>
    <cellStyle name="Normal GHG whole table 6 2 2" xfId="24030" xr:uid="{00000000-0005-0000-0000-000006330000}"/>
    <cellStyle name="Normal GHG whole table 6 3" xfId="14646" xr:uid="{00000000-0005-0000-0000-000007330000}"/>
    <cellStyle name="Normal GHG whole table 6 3 2" xfId="29478" xr:uid="{00000000-0005-0000-0000-000008330000}"/>
    <cellStyle name="Normal GHG whole table 7" xfId="2300" xr:uid="{00000000-0005-0000-0000-000009330000}"/>
    <cellStyle name="Normal GHG whole table 7 2" xfId="6412" xr:uid="{00000000-0005-0000-0000-00000A330000}"/>
    <cellStyle name="Normal GHG whole table 7 2 2" xfId="22814" xr:uid="{00000000-0005-0000-0000-00000B330000}"/>
    <cellStyle name="Normal GHG whole table 7 3" xfId="12640" xr:uid="{00000000-0005-0000-0000-00000C330000}"/>
    <cellStyle name="Normal GHG whole table 7 3 2" xfId="27472" xr:uid="{00000000-0005-0000-0000-00000D330000}"/>
    <cellStyle name="Normal GHG whole table 8" xfId="1686" xr:uid="{00000000-0005-0000-0000-00000E330000}"/>
    <cellStyle name="Normal GHG whole table 8 2" xfId="5818" xr:uid="{00000000-0005-0000-0000-00000F330000}"/>
    <cellStyle name="Normal GHG whole table 8 2 2" xfId="22415" xr:uid="{00000000-0005-0000-0000-000010330000}"/>
    <cellStyle name="Normal GHG whole table 8 3" xfId="12080" xr:uid="{00000000-0005-0000-0000-000011330000}"/>
    <cellStyle name="Normal GHG whole table 8 3 2" xfId="26912" xr:uid="{00000000-0005-0000-0000-000012330000}"/>
    <cellStyle name="Normal GHG whole table 9" xfId="5473" xr:uid="{00000000-0005-0000-0000-000013330000}"/>
    <cellStyle name="Normal GHG whole table 9 2" xfId="15708" xr:uid="{00000000-0005-0000-0000-000014330000}"/>
    <cellStyle name="Normal GHG whole table 9 2 2" xfId="30540" xr:uid="{00000000-0005-0000-0000-000015330000}"/>
    <cellStyle name="Normal GHG whole table 9 3" xfId="22201" xr:uid="{00000000-0005-0000-0000-000016330000}"/>
    <cellStyle name="Normal GHG-Shade" xfId="1214" xr:uid="{00000000-0005-0000-0000-000017330000}"/>
    <cellStyle name="Normal_CRIT Budgets" xfId="33022" xr:uid="{00000000-0005-0000-0000-000018330000}"/>
    <cellStyle name="Note 2" xfId="1216" xr:uid="{00000000-0005-0000-0000-000019330000}"/>
    <cellStyle name="Note 2 10" xfId="1503" xr:uid="{00000000-0005-0000-0000-00001A330000}"/>
    <cellStyle name="Note 2 10 2" xfId="2000" xr:uid="{00000000-0005-0000-0000-00001B330000}"/>
    <cellStyle name="Note 2 10 2 2" xfId="3781" xr:uid="{00000000-0005-0000-0000-00001C330000}"/>
    <cellStyle name="Note 2 10 2 2 2" xfId="7836" xr:uid="{00000000-0005-0000-0000-00001D330000}"/>
    <cellStyle name="Note 2 10 2 2 2 2" xfId="17362" xr:uid="{00000000-0005-0000-0000-00001E330000}"/>
    <cellStyle name="Note 2 10 2 2 2 2 2" xfId="32194" xr:uid="{00000000-0005-0000-0000-00001F330000}"/>
    <cellStyle name="Note 2 10 2 2 2 3" xfId="23692" xr:uid="{00000000-0005-0000-0000-000020330000}"/>
    <cellStyle name="Note 2 10 2 2 3" xfId="14116" xr:uid="{00000000-0005-0000-0000-000021330000}"/>
    <cellStyle name="Note 2 10 2 2 3 2" xfId="28948" xr:uid="{00000000-0005-0000-0000-000022330000}"/>
    <cellStyle name="Note 2 10 2 2 4" xfId="10979" xr:uid="{00000000-0005-0000-0000-000023330000}"/>
    <cellStyle name="Note 2 10 2 2 4 2" xfId="25811" xr:uid="{00000000-0005-0000-0000-000024330000}"/>
    <cellStyle name="Note 2 10 2 2 5" xfId="21344" xr:uid="{00000000-0005-0000-0000-000025330000}"/>
    <cellStyle name="Note 2 10 2 3" xfId="4968" xr:uid="{00000000-0005-0000-0000-000026330000}"/>
    <cellStyle name="Note 2 10 2 3 2" xfId="9007" xr:uid="{00000000-0005-0000-0000-000027330000}"/>
    <cellStyle name="Note 2 10 2 3 2 2" xfId="17947" xr:uid="{00000000-0005-0000-0000-000028330000}"/>
    <cellStyle name="Note 2 10 2 3 2 2 2" xfId="32779" xr:uid="{00000000-0005-0000-0000-000029330000}"/>
    <cellStyle name="Note 2 10 2 3 2 3" xfId="24473" xr:uid="{00000000-0005-0000-0000-00002A330000}"/>
    <cellStyle name="Note 2 10 2 3 3" xfId="15290" xr:uid="{00000000-0005-0000-0000-00002B330000}"/>
    <cellStyle name="Note 2 10 2 3 3 2" xfId="30122" xr:uid="{00000000-0005-0000-0000-00002C330000}"/>
    <cellStyle name="Note 2 10 2 3 4" xfId="11548" xr:uid="{00000000-0005-0000-0000-00002D330000}"/>
    <cellStyle name="Note 2 10 2 3 4 2" xfId="26380" xr:uid="{00000000-0005-0000-0000-00002E330000}"/>
    <cellStyle name="Note 2 10 2 3 5" xfId="21999" xr:uid="{00000000-0005-0000-0000-00002F330000}"/>
    <cellStyle name="Note 2 10 2 4" xfId="2958" xr:uid="{00000000-0005-0000-0000-000030330000}"/>
    <cellStyle name="Note 2 10 2 4 2" xfId="7038" xr:uid="{00000000-0005-0000-0000-000031330000}"/>
    <cellStyle name="Note 2 10 2 4 2 2" xfId="16839" xr:uid="{00000000-0005-0000-0000-000032330000}"/>
    <cellStyle name="Note 2 10 2 4 2 2 2" xfId="31671" xr:uid="{00000000-0005-0000-0000-000033330000}"/>
    <cellStyle name="Note 2 10 2 4 2 3" xfId="23212" xr:uid="{00000000-0005-0000-0000-000034330000}"/>
    <cellStyle name="Note 2 10 2 4 3" xfId="13296" xr:uid="{00000000-0005-0000-0000-000035330000}"/>
    <cellStyle name="Note 2 10 2 4 3 2" xfId="28128" xr:uid="{00000000-0005-0000-0000-000036330000}"/>
    <cellStyle name="Note 2 10 2 4 4" xfId="10494" xr:uid="{00000000-0005-0000-0000-000037330000}"/>
    <cellStyle name="Note 2 10 2 4 4 2" xfId="25326" xr:uid="{00000000-0005-0000-0000-000038330000}"/>
    <cellStyle name="Note 2 10 2 4 5" xfId="20884" xr:uid="{00000000-0005-0000-0000-000039330000}"/>
    <cellStyle name="Note 2 10 2 5" xfId="6130" xr:uid="{00000000-0005-0000-0000-00003A330000}"/>
    <cellStyle name="Note 2 10 2 5 2" xfId="16317" xr:uid="{00000000-0005-0000-0000-00003B330000}"/>
    <cellStyle name="Note 2 10 2 5 2 2" xfId="31149" xr:uid="{00000000-0005-0000-0000-00003C330000}"/>
    <cellStyle name="Note 2 10 2 5 3" xfId="22663" xr:uid="{00000000-0005-0000-0000-00003D330000}"/>
    <cellStyle name="Note 2 10 2 6" xfId="12387" xr:uid="{00000000-0005-0000-0000-00003E330000}"/>
    <cellStyle name="Note 2 10 2 6 2" xfId="27219" xr:uid="{00000000-0005-0000-0000-00003F330000}"/>
    <cellStyle name="Note 2 10 2 7" xfId="9969" xr:uid="{00000000-0005-0000-0000-000040330000}"/>
    <cellStyle name="Note 2 10 2 7 2" xfId="24803" xr:uid="{00000000-0005-0000-0000-000041330000}"/>
    <cellStyle name="Note 2 10 2 8" xfId="20344" xr:uid="{00000000-0005-0000-0000-000042330000}"/>
    <cellStyle name="Note 2 10 3" xfId="3685" xr:uid="{00000000-0005-0000-0000-000043330000}"/>
    <cellStyle name="Note 2 10 3 2" xfId="7742" xr:uid="{00000000-0005-0000-0000-000044330000}"/>
    <cellStyle name="Note 2 10 3 2 2" xfId="17314" xr:uid="{00000000-0005-0000-0000-000045330000}"/>
    <cellStyle name="Note 2 10 3 2 2 2" xfId="32146" xr:uid="{00000000-0005-0000-0000-000046330000}"/>
    <cellStyle name="Note 2 10 3 2 3" xfId="23631" xr:uid="{00000000-0005-0000-0000-000047330000}"/>
    <cellStyle name="Note 2 10 3 3" xfId="14020" xr:uid="{00000000-0005-0000-0000-000048330000}"/>
    <cellStyle name="Note 2 10 3 3 2" xfId="28852" xr:uid="{00000000-0005-0000-0000-000049330000}"/>
    <cellStyle name="Note 2 10 3 4" xfId="10931" xr:uid="{00000000-0005-0000-0000-00004A330000}"/>
    <cellStyle name="Note 2 10 3 4 2" xfId="25763" xr:uid="{00000000-0005-0000-0000-00004B330000}"/>
    <cellStyle name="Note 2 10 3 5" xfId="21292" xr:uid="{00000000-0005-0000-0000-00004C330000}"/>
    <cellStyle name="Note 2 10 4" xfId="4548" xr:uid="{00000000-0005-0000-0000-00004D330000}"/>
    <cellStyle name="Note 2 10 4 2" xfId="8587" xr:uid="{00000000-0005-0000-0000-00004E330000}"/>
    <cellStyle name="Note 2 10 4 2 2" xfId="17707" xr:uid="{00000000-0005-0000-0000-00004F330000}"/>
    <cellStyle name="Note 2 10 4 2 2 2" xfId="32539" xr:uid="{00000000-0005-0000-0000-000050330000}"/>
    <cellStyle name="Note 2 10 4 2 3" xfId="24213" xr:uid="{00000000-0005-0000-0000-000051330000}"/>
    <cellStyle name="Note 2 10 4 3" xfId="14875" xr:uid="{00000000-0005-0000-0000-000052330000}"/>
    <cellStyle name="Note 2 10 4 3 2" xfId="29707" xr:uid="{00000000-0005-0000-0000-000053330000}"/>
    <cellStyle name="Note 2 10 4 4" xfId="11313" xr:uid="{00000000-0005-0000-0000-000054330000}"/>
    <cellStyle name="Note 2 10 4 4 2" xfId="26145" xr:uid="{00000000-0005-0000-0000-000055330000}"/>
    <cellStyle name="Note 2 10 4 5" xfId="21769" xr:uid="{00000000-0005-0000-0000-000056330000}"/>
    <cellStyle name="Note 2 10 5" xfId="2538" xr:uid="{00000000-0005-0000-0000-000057330000}"/>
    <cellStyle name="Note 2 10 5 2" xfId="6644" xr:uid="{00000000-0005-0000-0000-000058330000}"/>
    <cellStyle name="Note 2 10 5 2 2" xfId="16604" xr:uid="{00000000-0005-0000-0000-000059330000}"/>
    <cellStyle name="Note 2 10 5 2 2 2" xfId="31436" xr:uid="{00000000-0005-0000-0000-00005A330000}"/>
    <cellStyle name="Note 2 10 5 2 3" xfId="22982" xr:uid="{00000000-0005-0000-0000-00005B330000}"/>
    <cellStyle name="Note 2 10 5 3" xfId="12876" xr:uid="{00000000-0005-0000-0000-00005C330000}"/>
    <cellStyle name="Note 2 10 5 3 2" xfId="27708" xr:uid="{00000000-0005-0000-0000-00005D330000}"/>
    <cellStyle name="Note 2 10 5 4" xfId="10254" xr:uid="{00000000-0005-0000-0000-00005E330000}"/>
    <cellStyle name="Note 2 10 5 4 2" xfId="25086" xr:uid="{00000000-0005-0000-0000-00005F330000}"/>
    <cellStyle name="Note 2 10 5 5" xfId="20624" xr:uid="{00000000-0005-0000-0000-000060330000}"/>
    <cellStyle name="Note 2 10 6" xfId="5661" xr:uid="{00000000-0005-0000-0000-000061330000}"/>
    <cellStyle name="Note 2 10 6 2" xfId="15896" xr:uid="{00000000-0005-0000-0000-000062330000}"/>
    <cellStyle name="Note 2 10 6 2 2" xfId="30728" xr:uid="{00000000-0005-0000-0000-000063330000}"/>
    <cellStyle name="Note 2 10 6 3" xfId="22357" xr:uid="{00000000-0005-0000-0000-000064330000}"/>
    <cellStyle name="Note 2 10 7" xfId="11916" xr:uid="{00000000-0005-0000-0000-000065330000}"/>
    <cellStyle name="Note 2 10 7 2" xfId="26748" xr:uid="{00000000-0005-0000-0000-000066330000}"/>
    <cellStyle name="Note 2 10 8" xfId="9574" xr:uid="{00000000-0005-0000-0000-000067330000}"/>
    <cellStyle name="Note 2 10 8 2" xfId="19876" xr:uid="{00000000-0005-0000-0000-000068330000}"/>
    <cellStyle name="Note 2 11" xfId="1560" xr:uid="{00000000-0005-0000-0000-000069330000}"/>
    <cellStyle name="Note 2 11 2" xfId="2057" xr:uid="{00000000-0005-0000-0000-00006A330000}"/>
    <cellStyle name="Note 2 11 2 2" xfId="3118" xr:uid="{00000000-0005-0000-0000-00006B330000}"/>
    <cellStyle name="Note 2 11 2 2 2" xfId="7183" xr:uid="{00000000-0005-0000-0000-00006C330000}"/>
    <cellStyle name="Note 2 11 2 2 2 2" xfId="16979" xr:uid="{00000000-0005-0000-0000-00006D330000}"/>
    <cellStyle name="Note 2 11 2 2 2 2 2" xfId="31811" xr:uid="{00000000-0005-0000-0000-00006E330000}"/>
    <cellStyle name="Note 2 11 2 2 2 3" xfId="23257" xr:uid="{00000000-0005-0000-0000-00006F330000}"/>
    <cellStyle name="Note 2 11 2 2 3" xfId="13456" xr:uid="{00000000-0005-0000-0000-000070330000}"/>
    <cellStyle name="Note 2 11 2 2 3 2" xfId="28288" xr:uid="{00000000-0005-0000-0000-000071330000}"/>
    <cellStyle name="Note 2 11 2 2 4" xfId="10637" xr:uid="{00000000-0005-0000-0000-000072330000}"/>
    <cellStyle name="Note 2 11 2 2 4 2" xfId="25469" xr:uid="{00000000-0005-0000-0000-000073330000}"/>
    <cellStyle name="Note 2 11 2 2 5" xfId="20947" xr:uid="{00000000-0005-0000-0000-000074330000}"/>
    <cellStyle name="Note 2 11 2 3" xfId="5025" xr:uid="{00000000-0005-0000-0000-000075330000}"/>
    <cellStyle name="Note 2 11 2 3 2" xfId="9064" xr:uid="{00000000-0005-0000-0000-000076330000}"/>
    <cellStyle name="Note 2 11 2 3 2 2" xfId="17997" xr:uid="{00000000-0005-0000-0000-000077330000}"/>
    <cellStyle name="Note 2 11 2 3 2 2 2" xfId="32829" xr:uid="{00000000-0005-0000-0000-000078330000}"/>
    <cellStyle name="Note 2 11 2 3 2 3" xfId="24498" xr:uid="{00000000-0005-0000-0000-000079330000}"/>
    <cellStyle name="Note 2 11 2 3 3" xfId="15346" xr:uid="{00000000-0005-0000-0000-00007A330000}"/>
    <cellStyle name="Note 2 11 2 3 3 2" xfId="30178" xr:uid="{00000000-0005-0000-0000-00007B330000}"/>
    <cellStyle name="Note 2 11 2 3 4" xfId="11597" xr:uid="{00000000-0005-0000-0000-00007C330000}"/>
    <cellStyle name="Note 2 11 2 3 4 2" xfId="26429" xr:uid="{00000000-0005-0000-0000-00007D330000}"/>
    <cellStyle name="Note 2 11 2 3 5" xfId="22018" xr:uid="{00000000-0005-0000-0000-00007E330000}"/>
    <cellStyle name="Note 2 11 2 4" xfId="3015" xr:uid="{00000000-0005-0000-0000-00007F330000}"/>
    <cellStyle name="Note 2 11 2 4 2" xfId="7090" xr:uid="{00000000-0005-0000-0000-000080330000}"/>
    <cellStyle name="Note 2 11 2 4 2 2" xfId="16888" xr:uid="{00000000-0005-0000-0000-000081330000}"/>
    <cellStyle name="Note 2 11 2 4 2 2 2" xfId="31720" xr:uid="{00000000-0005-0000-0000-000082330000}"/>
    <cellStyle name="Note 2 11 2 4 2 3" xfId="23231" xr:uid="{00000000-0005-0000-0000-000083330000}"/>
    <cellStyle name="Note 2 11 2 4 3" xfId="13353" xr:uid="{00000000-0005-0000-0000-000084330000}"/>
    <cellStyle name="Note 2 11 2 4 3 2" xfId="28185" xr:uid="{00000000-0005-0000-0000-000085330000}"/>
    <cellStyle name="Note 2 11 2 4 4" xfId="10544" xr:uid="{00000000-0005-0000-0000-000086330000}"/>
    <cellStyle name="Note 2 11 2 4 4 2" xfId="25376" xr:uid="{00000000-0005-0000-0000-000087330000}"/>
    <cellStyle name="Note 2 11 2 4 5" xfId="20909" xr:uid="{00000000-0005-0000-0000-000088330000}"/>
    <cellStyle name="Note 2 11 2 5" xfId="6182" xr:uid="{00000000-0005-0000-0000-000089330000}"/>
    <cellStyle name="Note 2 11 2 5 2" xfId="16368" xr:uid="{00000000-0005-0000-0000-00008A330000}"/>
    <cellStyle name="Note 2 11 2 5 2 2" xfId="31200" xr:uid="{00000000-0005-0000-0000-00008B330000}"/>
    <cellStyle name="Note 2 11 2 5 3" xfId="22682" xr:uid="{00000000-0005-0000-0000-00008C330000}"/>
    <cellStyle name="Note 2 11 2 6" xfId="12438" xr:uid="{00000000-0005-0000-0000-00008D330000}"/>
    <cellStyle name="Note 2 11 2 6 2" xfId="27270" xr:uid="{00000000-0005-0000-0000-00008E330000}"/>
    <cellStyle name="Note 2 11 2 7" xfId="10020" xr:uid="{00000000-0005-0000-0000-00008F330000}"/>
    <cellStyle name="Note 2 11 2 7 2" xfId="24852" xr:uid="{00000000-0005-0000-0000-000090330000}"/>
    <cellStyle name="Note 2 11 2 8" xfId="20361" xr:uid="{00000000-0005-0000-0000-000091330000}"/>
    <cellStyle name="Note 2 11 3" xfId="3204" xr:uid="{00000000-0005-0000-0000-000092330000}"/>
    <cellStyle name="Note 2 11 3 2" xfId="7268" xr:uid="{00000000-0005-0000-0000-000093330000}"/>
    <cellStyle name="Note 2 11 3 2 2" xfId="17035" xr:uid="{00000000-0005-0000-0000-000094330000}"/>
    <cellStyle name="Note 2 11 3 2 2 2" xfId="31867" xr:uid="{00000000-0005-0000-0000-000095330000}"/>
    <cellStyle name="Note 2 11 3 2 3" xfId="23317" xr:uid="{00000000-0005-0000-0000-000096330000}"/>
    <cellStyle name="Note 2 11 3 3" xfId="13542" xr:uid="{00000000-0005-0000-0000-000097330000}"/>
    <cellStyle name="Note 2 11 3 3 2" xfId="28374" xr:uid="{00000000-0005-0000-0000-000098330000}"/>
    <cellStyle name="Note 2 11 3 4" xfId="10679" xr:uid="{00000000-0005-0000-0000-000099330000}"/>
    <cellStyle name="Note 2 11 3 4 2" xfId="25511" xr:uid="{00000000-0005-0000-0000-00009A330000}"/>
    <cellStyle name="Note 2 11 3 5" xfId="21007" xr:uid="{00000000-0005-0000-0000-00009B330000}"/>
    <cellStyle name="Note 2 11 4" xfId="4605" xr:uid="{00000000-0005-0000-0000-00009C330000}"/>
    <cellStyle name="Note 2 11 4 2" xfId="8644" xr:uid="{00000000-0005-0000-0000-00009D330000}"/>
    <cellStyle name="Note 2 11 4 2 2" xfId="17757" xr:uid="{00000000-0005-0000-0000-00009E330000}"/>
    <cellStyle name="Note 2 11 4 2 2 2" xfId="32589" xr:uid="{00000000-0005-0000-0000-00009F330000}"/>
    <cellStyle name="Note 2 11 4 2 3" xfId="24238" xr:uid="{00000000-0005-0000-0000-0000A0330000}"/>
    <cellStyle name="Note 2 11 4 3" xfId="14931" xr:uid="{00000000-0005-0000-0000-0000A1330000}"/>
    <cellStyle name="Note 2 11 4 3 2" xfId="29763" xr:uid="{00000000-0005-0000-0000-0000A2330000}"/>
    <cellStyle name="Note 2 11 4 4" xfId="11362" xr:uid="{00000000-0005-0000-0000-0000A3330000}"/>
    <cellStyle name="Note 2 11 4 4 2" xfId="26194" xr:uid="{00000000-0005-0000-0000-0000A4330000}"/>
    <cellStyle name="Note 2 11 4 5" xfId="21788" xr:uid="{00000000-0005-0000-0000-0000A5330000}"/>
    <cellStyle name="Note 2 11 5" xfId="2595" xr:uid="{00000000-0005-0000-0000-0000A6330000}"/>
    <cellStyle name="Note 2 11 5 2" xfId="6696" xr:uid="{00000000-0005-0000-0000-0000A7330000}"/>
    <cellStyle name="Note 2 11 5 2 2" xfId="16653" xr:uid="{00000000-0005-0000-0000-0000A8330000}"/>
    <cellStyle name="Note 2 11 5 2 2 2" xfId="31485" xr:uid="{00000000-0005-0000-0000-0000A9330000}"/>
    <cellStyle name="Note 2 11 5 2 3" xfId="23001" xr:uid="{00000000-0005-0000-0000-0000AA330000}"/>
    <cellStyle name="Note 2 11 5 3" xfId="12933" xr:uid="{00000000-0005-0000-0000-0000AB330000}"/>
    <cellStyle name="Note 2 11 5 3 2" xfId="27765" xr:uid="{00000000-0005-0000-0000-0000AC330000}"/>
    <cellStyle name="Note 2 11 5 4" xfId="10304" xr:uid="{00000000-0005-0000-0000-0000AD330000}"/>
    <cellStyle name="Note 2 11 5 4 2" xfId="25136" xr:uid="{00000000-0005-0000-0000-0000AE330000}"/>
    <cellStyle name="Note 2 11 5 5" xfId="20649" xr:uid="{00000000-0005-0000-0000-0000AF330000}"/>
    <cellStyle name="Note 2 11 6" xfId="5712" xr:uid="{00000000-0005-0000-0000-0000B0330000}"/>
    <cellStyle name="Note 2 11 6 2" xfId="15947" xr:uid="{00000000-0005-0000-0000-0000B1330000}"/>
    <cellStyle name="Note 2 11 6 2 2" xfId="30779" xr:uid="{00000000-0005-0000-0000-0000B2330000}"/>
    <cellStyle name="Note 2 11 6 3" xfId="22376" xr:uid="{00000000-0005-0000-0000-0000B3330000}"/>
    <cellStyle name="Note 2 11 7" xfId="11967" xr:uid="{00000000-0005-0000-0000-0000B4330000}"/>
    <cellStyle name="Note 2 11 7 2" xfId="26799" xr:uid="{00000000-0005-0000-0000-0000B5330000}"/>
    <cellStyle name="Note 2 11 8" xfId="9626" xr:uid="{00000000-0005-0000-0000-0000B6330000}"/>
    <cellStyle name="Note 2 11 8 2" xfId="19927" xr:uid="{00000000-0005-0000-0000-0000B7330000}"/>
    <cellStyle name="Note 2 12" xfId="1400" xr:uid="{00000000-0005-0000-0000-0000B8330000}"/>
    <cellStyle name="Note 2 12 2" xfId="1902" xr:uid="{00000000-0005-0000-0000-0000B9330000}"/>
    <cellStyle name="Note 2 12 2 2" xfId="3383" xr:uid="{00000000-0005-0000-0000-0000BA330000}"/>
    <cellStyle name="Note 2 12 2 2 2" xfId="7446" xr:uid="{00000000-0005-0000-0000-0000BB330000}"/>
    <cellStyle name="Note 2 12 2 2 2 2" xfId="17153" xr:uid="{00000000-0005-0000-0000-0000BC330000}"/>
    <cellStyle name="Note 2 12 2 2 2 2 2" xfId="31985" xr:uid="{00000000-0005-0000-0000-0000BD330000}"/>
    <cellStyle name="Note 2 12 2 2 2 3" xfId="23438" xr:uid="{00000000-0005-0000-0000-0000BE330000}"/>
    <cellStyle name="Note 2 12 2 2 3" xfId="13720" xr:uid="{00000000-0005-0000-0000-0000BF330000}"/>
    <cellStyle name="Note 2 12 2 2 3 2" xfId="28552" xr:uid="{00000000-0005-0000-0000-0000C0330000}"/>
    <cellStyle name="Note 2 12 2 2 4" xfId="10772" xr:uid="{00000000-0005-0000-0000-0000C1330000}"/>
    <cellStyle name="Note 2 12 2 2 4 2" xfId="25604" xr:uid="{00000000-0005-0000-0000-0000C2330000}"/>
    <cellStyle name="Note 2 12 2 2 5" xfId="21120" xr:uid="{00000000-0005-0000-0000-0000C3330000}"/>
    <cellStyle name="Note 2 12 2 3" xfId="4880" xr:uid="{00000000-0005-0000-0000-0000C4330000}"/>
    <cellStyle name="Note 2 12 2 3 2" xfId="8919" xr:uid="{00000000-0005-0000-0000-0000C5330000}"/>
    <cellStyle name="Note 2 12 2 3 2 2" xfId="17944" xr:uid="{00000000-0005-0000-0000-0000C6330000}"/>
    <cellStyle name="Note 2 12 2 3 2 2 2" xfId="32776" xr:uid="{00000000-0005-0000-0000-0000C7330000}"/>
    <cellStyle name="Note 2 12 2 3 2 3" xfId="24385" xr:uid="{00000000-0005-0000-0000-0000C8330000}"/>
    <cellStyle name="Note 2 12 2 3 3" xfId="15203" xr:uid="{00000000-0005-0000-0000-0000C9330000}"/>
    <cellStyle name="Note 2 12 2 3 3 2" xfId="30035" xr:uid="{00000000-0005-0000-0000-0000CA330000}"/>
    <cellStyle name="Note 2 12 2 3 4" xfId="11546" xr:uid="{00000000-0005-0000-0000-0000CB330000}"/>
    <cellStyle name="Note 2 12 2 3 4 2" xfId="26378" xr:uid="{00000000-0005-0000-0000-0000CC330000}"/>
    <cellStyle name="Note 2 12 2 3 5" xfId="21917" xr:uid="{00000000-0005-0000-0000-0000CD330000}"/>
    <cellStyle name="Note 2 12 2 4" xfId="2870" xr:uid="{00000000-0005-0000-0000-0000CE330000}"/>
    <cellStyle name="Note 2 12 2 4 2" xfId="6955" xr:uid="{00000000-0005-0000-0000-0000CF330000}"/>
    <cellStyle name="Note 2 12 2 4 2 2" xfId="16837" xr:uid="{00000000-0005-0000-0000-0000D0330000}"/>
    <cellStyle name="Note 2 12 2 4 2 2 2" xfId="31669" xr:uid="{00000000-0005-0000-0000-0000D1330000}"/>
    <cellStyle name="Note 2 12 2 4 2 3" xfId="23130" xr:uid="{00000000-0005-0000-0000-0000D2330000}"/>
    <cellStyle name="Note 2 12 2 4 3" xfId="13208" xr:uid="{00000000-0005-0000-0000-0000D3330000}"/>
    <cellStyle name="Note 2 12 2 4 3 2" xfId="28040" xr:uid="{00000000-0005-0000-0000-0000D4330000}"/>
    <cellStyle name="Note 2 12 2 4 4" xfId="10491" xr:uid="{00000000-0005-0000-0000-0000D5330000}"/>
    <cellStyle name="Note 2 12 2 4 4 2" xfId="25323" xr:uid="{00000000-0005-0000-0000-0000D6330000}"/>
    <cellStyle name="Note 2 12 2 4 5" xfId="20796" xr:uid="{00000000-0005-0000-0000-0000D7330000}"/>
    <cellStyle name="Note 2 12 2 5" xfId="6033" xr:uid="{00000000-0005-0000-0000-0000D8330000}"/>
    <cellStyle name="Note 2 12 2 5 2" xfId="16220" xr:uid="{00000000-0005-0000-0000-0000D9330000}"/>
    <cellStyle name="Note 2 12 2 5 2 2" xfId="31052" xr:uid="{00000000-0005-0000-0000-0000DA330000}"/>
    <cellStyle name="Note 2 12 2 5 3" xfId="22566" xr:uid="{00000000-0005-0000-0000-0000DB330000}"/>
    <cellStyle name="Note 2 12 2 6" xfId="12290" xr:uid="{00000000-0005-0000-0000-0000DC330000}"/>
    <cellStyle name="Note 2 12 2 6 2" xfId="27122" xr:uid="{00000000-0005-0000-0000-0000DD330000}"/>
    <cellStyle name="Note 2 12 2 7" xfId="9886" xr:uid="{00000000-0005-0000-0000-0000DE330000}"/>
    <cellStyle name="Note 2 12 2 7 2" xfId="24801" xr:uid="{00000000-0005-0000-0000-0000DF330000}"/>
    <cellStyle name="Note 2 12 2 8" xfId="20327" xr:uid="{00000000-0005-0000-0000-0000E0330000}"/>
    <cellStyle name="Note 2 12 3" xfId="3704" xr:uid="{00000000-0005-0000-0000-0000E1330000}"/>
    <cellStyle name="Note 2 12 3 2" xfId="7760" xr:uid="{00000000-0005-0000-0000-0000E2330000}"/>
    <cellStyle name="Note 2 12 3 2 2" xfId="17326" xr:uid="{00000000-0005-0000-0000-0000E3330000}"/>
    <cellStyle name="Note 2 12 3 2 2 2" xfId="32158" xr:uid="{00000000-0005-0000-0000-0000E4330000}"/>
    <cellStyle name="Note 2 12 3 2 3" xfId="23642" xr:uid="{00000000-0005-0000-0000-0000E5330000}"/>
    <cellStyle name="Note 2 12 3 3" xfId="14039" xr:uid="{00000000-0005-0000-0000-0000E6330000}"/>
    <cellStyle name="Note 2 12 3 3 2" xfId="28871" xr:uid="{00000000-0005-0000-0000-0000E7330000}"/>
    <cellStyle name="Note 2 12 3 4" xfId="10944" xr:uid="{00000000-0005-0000-0000-0000E8330000}"/>
    <cellStyle name="Note 2 12 3 4 2" xfId="25776" xr:uid="{00000000-0005-0000-0000-0000E9330000}"/>
    <cellStyle name="Note 2 12 3 5" xfId="21302" xr:uid="{00000000-0005-0000-0000-0000EA330000}"/>
    <cellStyle name="Note 2 12 4" xfId="4460" xr:uid="{00000000-0005-0000-0000-0000EB330000}"/>
    <cellStyle name="Note 2 12 4 2" xfId="8499" xr:uid="{00000000-0005-0000-0000-0000EC330000}"/>
    <cellStyle name="Note 2 12 4 2 2" xfId="17704" xr:uid="{00000000-0005-0000-0000-0000ED330000}"/>
    <cellStyle name="Note 2 12 4 2 2 2" xfId="32536" xr:uid="{00000000-0005-0000-0000-0000EE330000}"/>
    <cellStyle name="Note 2 12 4 2 3" xfId="24125" xr:uid="{00000000-0005-0000-0000-0000EF330000}"/>
    <cellStyle name="Note 2 12 4 3" xfId="14788" xr:uid="{00000000-0005-0000-0000-0000F0330000}"/>
    <cellStyle name="Note 2 12 4 3 2" xfId="29620" xr:uid="{00000000-0005-0000-0000-0000F1330000}"/>
    <cellStyle name="Note 2 12 4 4" xfId="11311" xr:uid="{00000000-0005-0000-0000-0000F2330000}"/>
    <cellStyle name="Note 2 12 4 4 2" xfId="26143" xr:uid="{00000000-0005-0000-0000-0000F3330000}"/>
    <cellStyle name="Note 2 12 4 5" xfId="21687" xr:uid="{00000000-0005-0000-0000-0000F4330000}"/>
    <cellStyle name="Note 2 12 5" xfId="2450" xr:uid="{00000000-0005-0000-0000-0000F5330000}"/>
    <cellStyle name="Note 2 12 5 2" xfId="6556" xr:uid="{00000000-0005-0000-0000-0000F6330000}"/>
    <cellStyle name="Note 2 12 5 2 2" xfId="16601" xr:uid="{00000000-0005-0000-0000-0000F7330000}"/>
    <cellStyle name="Note 2 12 5 2 2 2" xfId="31433" xr:uid="{00000000-0005-0000-0000-0000F8330000}"/>
    <cellStyle name="Note 2 12 5 2 3" xfId="22894" xr:uid="{00000000-0005-0000-0000-0000F9330000}"/>
    <cellStyle name="Note 2 12 5 3" xfId="12789" xr:uid="{00000000-0005-0000-0000-0000FA330000}"/>
    <cellStyle name="Note 2 12 5 3 2" xfId="27621" xr:uid="{00000000-0005-0000-0000-0000FB330000}"/>
    <cellStyle name="Note 2 12 5 4" xfId="10252" xr:uid="{00000000-0005-0000-0000-0000FC330000}"/>
    <cellStyle name="Note 2 12 5 4 2" xfId="25084" xr:uid="{00000000-0005-0000-0000-0000FD330000}"/>
    <cellStyle name="Note 2 12 5 5" xfId="20542" xr:uid="{00000000-0005-0000-0000-0000FE330000}"/>
    <cellStyle name="Note 2 12 6" xfId="5574" xr:uid="{00000000-0005-0000-0000-0000FF330000}"/>
    <cellStyle name="Note 2 12 6 2" xfId="15809" xr:uid="{00000000-0005-0000-0000-000000340000}"/>
    <cellStyle name="Note 2 12 6 2 2" xfId="30641" xr:uid="{00000000-0005-0000-0000-000001340000}"/>
    <cellStyle name="Note 2 12 6 3" xfId="22270" xr:uid="{00000000-0005-0000-0000-000002340000}"/>
    <cellStyle name="Note 2 12 7" xfId="11819" xr:uid="{00000000-0005-0000-0000-000003340000}"/>
    <cellStyle name="Note 2 12 7 2" xfId="26651" xr:uid="{00000000-0005-0000-0000-000004340000}"/>
    <cellStyle name="Note 2 12 8" xfId="9491" xr:uid="{00000000-0005-0000-0000-000005340000}"/>
    <cellStyle name="Note 2 12 8 2" xfId="19794" xr:uid="{00000000-0005-0000-0000-000006340000}"/>
    <cellStyle name="Note 2 13" xfId="1761" xr:uid="{00000000-0005-0000-0000-000007340000}"/>
    <cellStyle name="Note 2 13 2" xfId="3510" xr:uid="{00000000-0005-0000-0000-000008340000}"/>
    <cellStyle name="Note 2 13 2 2" xfId="7572" xr:uid="{00000000-0005-0000-0000-000009340000}"/>
    <cellStyle name="Note 2 13 2 2 2" xfId="17227" xr:uid="{00000000-0005-0000-0000-00000A340000}"/>
    <cellStyle name="Note 2 13 2 2 2 2" xfId="32059" xr:uid="{00000000-0005-0000-0000-00000B340000}"/>
    <cellStyle name="Note 2 13 2 2 3" xfId="23524" xr:uid="{00000000-0005-0000-0000-00000C340000}"/>
    <cellStyle name="Note 2 13 2 3" xfId="13847" xr:uid="{00000000-0005-0000-0000-00000D340000}"/>
    <cellStyle name="Note 2 13 2 3 2" xfId="28679" xr:uid="{00000000-0005-0000-0000-00000E340000}"/>
    <cellStyle name="Note 2 13 2 4" xfId="10845" xr:uid="{00000000-0005-0000-0000-00000F340000}"/>
    <cellStyle name="Note 2 13 2 4 2" xfId="25677" xr:uid="{00000000-0005-0000-0000-000010340000}"/>
    <cellStyle name="Note 2 13 2 5" xfId="21199" xr:uid="{00000000-0005-0000-0000-000011340000}"/>
    <cellStyle name="Note 2 13 3" xfId="4739" xr:uid="{00000000-0005-0000-0000-000012340000}"/>
    <cellStyle name="Note 2 13 3 2" xfId="8778" xr:uid="{00000000-0005-0000-0000-000013340000}"/>
    <cellStyle name="Note 2 13 3 2 2" xfId="17850" xr:uid="{00000000-0005-0000-0000-000014340000}"/>
    <cellStyle name="Note 2 13 3 2 2 2" xfId="32682" xr:uid="{00000000-0005-0000-0000-000015340000}"/>
    <cellStyle name="Note 2 13 3 2 3" xfId="24308" xr:uid="{00000000-0005-0000-0000-000016340000}"/>
    <cellStyle name="Note 2 13 3 3" xfId="15063" xr:uid="{00000000-0005-0000-0000-000017340000}"/>
    <cellStyle name="Note 2 13 3 3 2" xfId="29895" xr:uid="{00000000-0005-0000-0000-000018340000}"/>
    <cellStyle name="Note 2 13 3 4" xfId="11453" xr:uid="{00000000-0005-0000-0000-000019340000}"/>
    <cellStyle name="Note 2 13 3 4 2" xfId="26285" xr:uid="{00000000-0005-0000-0000-00001A340000}"/>
    <cellStyle name="Note 2 13 3 5" xfId="21846" xr:uid="{00000000-0005-0000-0000-00001B340000}"/>
    <cellStyle name="Note 2 13 4" xfId="2729" xr:uid="{00000000-0005-0000-0000-00001C340000}"/>
    <cellStyle name="Note 2 13 4 2" xfId="6820" xr:uid="{00000000-0005-0000-0000-00001D340000}"/>
    <cellStyle name="Note 2 13 4 2 2" xfId="16744" xr:uid="{00000000-0005-0000-0000-00001E340000}"/>
    <cellStyle name="Note 2 13 4 2 2 2" xfId="31576" xr:uid="{00000000-0005-0000-0000-00001F340000}"/>
    <cellStyle name="Note 2 13 4 2 3" xfId="23059" xr:uid="{00000000-0005-0000-0000-000020340000}"/>
    <cellStyle name="Note 2 13 4 3" xfId="13067" xr:uid="{00000000-0005-0000-0000-000021340000}"/>
    <cellStyle name="Note 2 13 4 3 2" xfId="27899" xr:uid="{00000000-0005-0000-0000-000022340000}"/>
    <cellStyle name="Note 2 13 4 4" xfId="10397" xr:uid="{00000000-0005-0000-0000-000023340000}"/>
    <cellStyle name="Note 2 13 4 4 2" xfId="25229" xr:uid="{00000000-0005-0000-0000-000024340000}"/>
    <cellStyle name="Note 2 13 4 5" xfId="20719" xr:uid="{00000000-0005-0000-0000-000025340000}"/>
    <cellStyle name="Note 2 13 5" xfId="5893" xr:uid="{00000000-0005-0000-0000-000026340000}"/>
    <cellStyle name="Note 2 13 5 2" xfId="16085" xr:uid="{00000000-0005-0000-0000-000027340000}"/>
    <cellStyle name="Note 2 13 5 2 2" xfId="30917" xr:uid="{00000000-0005-0000-0000-000028340000}"/>
    <cellStyle name="Note 2 13 5 3" xfId="22490" xr:uid="{00000000-0005-0000-0000-000029340000}"/>
    <cellStyle name="Note 2 13 6" xfId="12155" xr:uid="{00000000-0005-0000-0000-00002A340000}"/>
    <cellStyle name="Note 2 13 6 2" xfId="26987" xr:uid="{00000000-0005-0000-0000-00002B340000}"/>
    <cellStyle name="Note 2 13 7" xfId="9751" xr:uid="{00000000-0005-0000-0000-00002C340000}"/>
    <cellStyle name="Note 2 13 7 2" xfId="24708" xr:uid="{00000000-0005-0000-0000-00002D340000}"/>
    <cellStyle name="Note 2 13 8" xfId="20298" xr:uid="{00000000-0005-0000-0000-00002E340000}"/>
    <cellStyle name="Note 2 14" xfId="2205" xr:uid="{00000000-0005-0000-0000-00002F340000}"/>
    <cellStyle name="Note 2 14 2" xfId="3542" xr:uid="{00000000-0005-0000-0000-000030340000}"/>
    <cellStyle name="Note 2 14 2 2" xfId="7604" xr:uid="{00000000-0005-0000-0000-000031340000}"/>
    <cellStyle name="Note 2 14 2 2 2" xfId="17248" xr:uid="{00000000-0005-0000-0000-000032340000}"/>
    <cellStyle name="Note 2 14 2 2 2 2" xfId="32080" xr:uid="{00000000-0005-0000-0000-000033340000}"/>
    <cellStyle name="Note 2 14 2 2 3" xfId="23542" xr:uid="{00000000-0005-0000-0000-000034340000}"/>
    <cellStyle name="Note 2 14 2 3" xfId="13878" xr:uid="{00000000-0005-0000-0000-000035340000}"/>
    <cellStyle name="Note 2 14 2 3 2" xfId="28710" xr:uid="{00000000-0005-0000-0000-000036340000}"/>
    <cellStyle name="Note 2 14 2 4" xfId="10865" xr:uid="{00000000-0005-0000-0000-000037340000}"/>
    <cellStyle name="Note 2 14 2 4 2" xfId="25697" xr:uid="{00000000-0005-0000-0000-000038340000}"/>
    <cellStyle name="Note 2 14 2 5" xfId="21215" xr:uid="{00000000-0005-0000-0000-000039340000}"/>
    <cellStyle name="Note 2 14 3" xfId="5173" xr:uid="{00000000-0005-0000-0000-00003A340000}"/>
    <cellStyle name="Note 2 14 3 2" xfId="9212" xr:uid="{00000000-0005-0000-0000-00003B340000}"/>
    <cellStyle name="Note 2 14 3 2 2" xfId="18135" xr:uid="{00000000-0005-0000-0000-00003C340000}"/>
    <cellStyle name="Note 2 14 3 2 2 2" xfId="32967" xr:uid="{00000000-0005-0000-0000-00003D340000}"/>
    <cellStyle name="Note 2 14 3 2 3" xfId="24550" xr:uid="{00000000-0005-0000-0000-00003E340000}"/>
    <cellStyle name="Note 2 14 3 3" xfId="15491" xr:uid="{00000000-0005-0000-0000-00003F340000}"/>
    <cellStyle name="Note 2 14 3 3 2" xfId="30323" xr:uid="{00000000-0005-0000-0000-000040340000}"/>
    <cellStyle name="Note 2 14 3 4" xfId="11732" xr:uid="{00000000-0005-0000-0000-000041340000}"/>
    <cellStyle name="Note 2 14 3 4 2" xfId="26564" xr:uid="{00000000-0005-0000-0000-000042340000}"/>
    <cellStyle name="Note 2 14 3 5" xfId="22057" xr:uid="{00000000-0005-0000-0000-000043340000}"/>
    <cellStyle name="Note 2 14 4" xfId="4203" xr:uid="{00000000-0005-0000-0000-000044340000}"/>
    <cellStyle name="Note 2 14 4 2" xfId="8244" xr:uid="{00000000-0005-0000-0000-000045340000}"/>
    <cellStyle name="Note 2 14 4 2 2" xfId="17591" xr:uid="{00000000-0005-0000-0000-000046340000}"/>
    <cellStyle name="Note 2 14 4 2 2 2" xfId="32423" xr:uid="{00000000-0005-0000-0000-000047340000}"/>
    <cellStyle name="Note 2 14 4 2 3" xfId="23939" xr:uid="{00000000-0005-0000-0000-000048340000}"/>
    <cellStyle name="Note 2 14 4 3" xfId="14535" xr:uid="{00000000-0005-0000-0000-000049340000}"/>
    <cellStyle name="Note 2 14 4 3 2" xfId="29367" xr:uid="{00000000-0005-0000-0000-00004A340000}"/>
    <cellStyle name="Note 2 14 4 4" xfId="11211" xr:uid="{00000000-0005-0000-0000-00004B340000}"/>
    <cellStyle name="Note 2 14 4 4 2" xfId="26043" xr:uid="{00000000-0005-0000-0000-00004C340000}"/>
    <cellStyle name="Note 2 14 4 5" xfId="21564" xr:uid="{00000000-0005-0000-0000-00004D340000}"/>
    <cellStyle name="Note 2 14 5" xfId="6319" xr:uid="{00000000-0005-0000-0000-00004E340000}"/>
    <cellStyle name="Note 2 14 5 2" xfId="16503" xr:uid="{00000000-0005-0000-0000-00004F340000}"/>
    <cellStyle name="Note 2 14 5 2 2" xfId="31335" xr:uid="{00000000-0005-0000-0000-000050340000}"/>
    <cellStyle name="Note 2 14 5 3" xfId="22721" xr:uid="{00000000-0005-0000-0000-000051340000}"/>
    <cellStyle name="Note 2 14 6" xfId="12573" xr:uid="{00000000-0005-0000-0000-000052340000}"/>
    <cellStyle name="Note 2 14 6 2" xfId="27405" xr:uid="{00000000-0005-0000-0000-000053340000}"/>
    <cellStyle name="Note 2 14 7" xfId="10155" xr:uid="{00000000-0005-0000-0000-000054340000}"/>
    <cellStyle name="Note 2 14 7 2" xfId="24987" xr:uid="{00000000-0005-0000-0000-000055340000}"/>
    <cellStyle name="Note 2 14 8" xfId="20400" xr:uid="{00000000-0005-0000-0000-000056340000}"/>
    <cellStyle name="Note 2 15" xfId="3173" xr:uid="{00000000-0005-0000-0000-000057340000}"/>
    <cellStyle name="Note 2 15 2" xfId="7237" xr:uid="{00000000-0005-0000-0000-000058340000}"/>
    <cellStyle name="Note 2 15 2 2" xfId="17011" xr:uid="{00000000-0005-0000-0000-000059340000}"/>
    <cellStyle name="Note 2 15 2 2 2" xfId="31843" xr:uid="{00000000-0005-0000-0000-00005A340000}"/>
    <cellStyle name="Note 2 15 2 3" xfId="23297" xr:uid="{00000000-0005-0000-0000-00005B340000}"/>
    <cellStyle name="Note 2 15 3" xfId="13511" xr:uid="{00000000-0005-0000-0000-00005C340000}"/>
    <cellStyle name="Note 2 15 3 2" xfId="28343" xr:uid="{00000000-0005-0000-0000-00005D340000}"/>
    <cellStyle name="Note 2 15 4" xfId="10661" xr:uid="{00000000-0005-0000-0000-00005E340000}"/>
    <cellStyle name="Note 2 15 4 2" xfId="25493" xr:uid="{00000000-0005-0000-0000-00005F340000}"/>
    <cellStyle name="Note 2 15 5" xfId="20987" xr:uid="{00000000-0005-0000-0000-000060340000}"/>
    <cellStyle name="Note 2 16" xfId="3208" xr:uid="{00000000-0005-0000-0000-000061340000}"/>
    <cellStyle name="Note 2 16 2" xfId="7272" xr:uid="{00000000-0005-0000-0000-000062340000}"/>
    <cellStyle name="Note 2 16 2 2" xfId="17039" xr:uid="{00000000-0005-0000-0000-000063340000}"/>
    <cellStyle name="Note 2 16 2 2 2" xfId="31871" xr:uid="{00000000-0005-0000-0000-000064340000}"/>
    <cellStyle name="Note 2 16 2 3" xfId="23319" xr:uid="{00000000-0005-0000-0000-000065340000}"/>
    <cellStyle name="Note 2 16 3" xfId="13546" xr:uid="{00000000-0005-0000-0000-000066340000}"/>
    <cellStyle name="Note 2 16 3 2" xfId="28378" xr:uid="{00000000-0005-0000-0000-000067340000}"/>
    <cellStyle name="Note 2 16 4" xfId="10683" xr:uid="{00000000-0005-0000-0000-000068340000}"/>
    <cellStyle name="Note 2 16 4 2" xfId="25515" xr:uid="{00000000-0005-0000-0000-000069340000}"/>
    <cellStyle name="Note 2 16 5" xfId="21009" xr:uid="{00000000-0005-0000-0000-00006A340000}"/>
    <cellStyle name="Note 2 17" xfId="2302" xr:uid="{00000000-0005-0000-0000-00006B340000}"/>
    <cellStyle name="Note 2 17 2" xfId="6414" xr:uid="{00000000-0005-0000-0000-00006C340000}"/>
    <cellStyle name="Note 2 17 2 2" xfId="16507" xr:uid="{00000000-0005-0000-0000-00006D340000}"/>
    <cellStyle name="Note 2 17 2 2 2" xfId="31339" xr:uid="{00000000-0005-0000-0000-00006E340000}"/>
    <cellStyle name="Note 2 17 2 3" xfId="22816" xr:uid="{00000000-0005-0000-0000-00006F340000}"/>
    <cellStyle name="Note 2 17 3" xfId="12642" xr:uid="{00000000-0005-0000-0000-000070340000}"/>
    <cellStyle name="Note 2 17 3 2" xfId="27474" xr:uid="{00000000-0005-0000-0000-000071340000}"/>
    <cellStyle name="Note 2 17 4" xfId="10158" xr:uid="{00000000-0005-0000-0000-000072340000}"/>
    <cellStyle name="Note 2 17 4 2" xfId="24990" xr:uid="{00000000-0005-0000-0000-000073340000}"/>
    <cellStyle name="Note 2 17 5" xfId="20465" xr:uid="{00000000-0005-0000-0000-000074340000}"/>
    <cellStyle name="Note 2 18" xfId="5265" xr:uid="{00000000-0005-0000-0000-000075340000}"/>
    <cellStyle name="Note 2 18 2" xfId="9273" xr:uid="{00000000-0005-0000-0000-000076340000}"/>
    <cellStyle name="Note 2 18 2 2" xfId="18140" xr:uid="{00000000-0005-0000-0000-000077340000}"/>
    <cellStyle name="Note 2 18 2 2 2" xfId="32972" xr:uid="{00000000-0005-0000-0000-000078340000}"/>
    <cellStyle name="Note 2 18 2 3" xfId="24611" xr:uid="{00000000-0005-0000-0000-000079340000}"/>
    <cellStyle name="Note 2 18 3" xfId="15581" xr:uid="{00000000-0005-0000-0000-00007A340000}"/>
    <cellStyle name="Note 2 18 3 2" xfId="30413" xr:uid="{00000000-0005-0000-0000-00007B340000}"/>
    <cellStyle name="Note 2 18 4" xfId="22122" xr:uid="{00000000-0005-0000-0000-00007C340000}"/>
    <cellStyle name="Note 2 19" xfId="5423" xr:uid="{00000000-0005-0000-0000-00007D340000}"/>
    <cellStyle name="Note 2 19 2" xfId="15659" xr:uid="{00000000-0005-0000-0000-00007E340000}"/>
    <cellStyle name="Note 2 19 2 2" xfId="30491" xr:uid="{00000000-0005-0000-0000-00007F340000}"/>
    <cellStyle name="Note 2 19 3" xfId="22184" xr:uid="{00000000-0005-0000-0000-000080340000}"/>
    <cellStyle name="Note 2 2" xfId="1217" xr:uid="{00000000-0005-0000-0000-000081340000}"/>
    <cellStyle name="Note 2 2 10" xfId="2303" xr:uid="{00000000-0005-0000-0000-000082340000}"/>
    <cellStyle name="Note 2 2 10 2" xfId="6415" xr:uid="{00000000-0005-0000-0000-000083340000}"/>
    <cellStyle name="Note 2 2 10 2 2" xfId="16508" xr:uid="{00000000-0005-0000-0000-000084340000}"/>
    <cellStyle name="Note 2 2 10 2 2 2" xfId="31340" xr:uid="{00000000-0005-0000-0000-000085340000}"/>
    <cellStyle name="Note 2 2 10 2 3" xfId="22817" xr:uid="{00000000-0005-0000-0000-000086340000}"/>
    <cellStyle name="Note 2 2 10 3" xfId="12643" xr:uid="{00000000-0005-0000-0000-000087340000}"/>
    <cellStyle name="Note 2 2 10 3 2" xfId="27475" xr:uid="{00000000-0005-0000-0000-000088340000}"/>
    <cellStyle name="Note 2 2 10 4" xfId="10159" xr:uid="{00000000-0005-0000-0000-000089340000}"/>
    <cellStyle name="Note 2 2 10 4 2" xfId="24991" xr:uid="{00000000-0005-0000-0000-00008A340000}"/>
    <cellStyle name="Note 2 2 10 5" xfId="20466" xr:uid="{00000000-0005-0000-0000-00008B340000}"/>
    <cellStyle name="Note 2 2 11" xfId="5266" xr:uid="{00000000-0005-0000-0000-00008C340000}"/>
    <cellStyle name="Note 2 2 11 2" xfId="9274" xr:uid="{00000000-0005-0000-0000-00008D340000}"/>
    <cellStyle name="Note 2 2 11 2 2" xfId="18141" xr:uid="{00000000-0005-0000-0000-00008E340000}"/>
    <cellStyle name="Note 2 2 11 2 2 2" xfId="32973" xr:uid="{00000000-0005-0000-0000-00008F340000}"/>
    <cellStyle name="Note 2 2 11 2 3" xfId="24612" xr:uid="{00000000-0005-0000-0000-000090340000}"/>
    <cellStyle name="Note 2 2 11 3" xfId="15582" xr:uid="{00000000-0005-0000-0000-000091340000}"/>
    <cellStyle name="Note 2 2 11 3 2" xfId="30414" xr:uid="{00000000-0005-0000-0000-000092340000}"/>
    <cellStyle name="Note 2 2 11 4" xfId="22123" xr:uid="{00000000-0005-0000-0000-000093340000}"/>
    <cellStyle name="Note 2 2 12" xfId="5424" xr:uid="{00000000-0005-0000-0000-000094340000}"/>
    <cellStyle name="Note 2 2 12 2" xfId="15660" xr:uid="{00000000-0005-0000-0000-000095340000}"/>
    <cellStyle name="Note 2 2 12 2 2" xfId="30492" xr:uid="{00000000-0005-0000-0000-000096340000}"/>
    <cellStyle name="Note 2 2 12 3" xfId="22185" xr:uid="{00000000-0005-0000-0000-000097340000}"/>
    <cellStyle name="Note 2 2 13" xfId="9367" xr:uid="{00000000-0005-0000-0000-000098340000}"/>
    <cellStyle name="Note 2 2 13 2" xfId="24673" xr:uid="{00000000-0005-0000-0000-000099340000}"/>
    <cellStyle name="Note 2 2 14" xfId="5356" xr:uid="{00000000-0005-0000-0000-00009A340000}"/>
    <cellStyle name="Note 2 2 14 2" xfId="18230" xr:uid="{00000000-0005-0000-0000-00009B340000}"/>
    <cellStyle name="Note 2 2 2" xfId="1336" xr:uid="{00000000-0005-0000-0000-00009C340000}"/>
    <cellStyle name="Note 2 2 2 2" xfId="1840" xr:uid="{00000000-0005-0000-0000-00009D340000}"/>
    <cellStyle name="Note 2 2 2 2 2" xfId="3740" xr:uid="{00000000-0005-0000-0000-00009E340000}"/>
    <cellStyle name="Note 2 2 2 2 2 2" xfId="7796" xr:uid="{00000000-0005-0000-0000-00009F340000}"/>
    <cellStyle name="Note 2 2 2 2 2 2 2" xfId="17343" xr:uid="{00000000-0005-0000-0000-0000A0340000}"/>
    <cellStyle name="Note 2 2 2 2 2 2 2 2" xfId="32175" xr:uid="{00000000-0005-0000-0000-0000A1340000}"/>
    <cellStyle name="Note 2 2 2 2 2 2 3" xfId="23669" xr:uid="{00000000-0005-0000-0000-0000A2340000}"/>
    <cellStyle name="Note 2 2 2 2 2 3" xfId="14075" xr:uid="{00000000-0005-0000-0000-0000A3340000}"/>
    <cellStyle name="Note 2 2 2 2 2 3 2" xfId="28907" xr:uid="{00000000-0005-0000-0000-0000A4340000}"/>
    <cellStyle name="Note 2 2 2 2 2 4" xfId="10959" xr:uid="{00000000-0005-0000-0000-0000A5340000}"/>
    <cellStyle name="Note 2 2 2 2 2 4 2" xfId="25791" xr:uid="{00000000-0005-0000-0000-0000A6340000}"/>
    <cellStyle name="Note 2 2 2 2 2 5" xfId="21325" xr:uid="{00000000-0005-0000-0000-0000A7340000}"/>
    <cellStyle name="Note 2 2 2 2 3" xfId="4818" xr:uid="{00000000-0005-0000-0000-0000A8340000}"/>
    <cellStyle name="Note 2 2 2 2 3 2" xfId="8857" xr:uid="{00000000-0005-0000-0000-0000A9340000}"/>
    <cellStyle name="Note 2 2 2 2 3 2 2" xfId="17898" xr:uid="{00000000-0005-0000-0000-0000AA340000}"/>
    <cellStyle name="Note 2 2 2 2 3 2 2 2" xfId="32730" xr:uid="{00000000-0005-0000-0000-0000AB340000}"/>
    <cellStyle name="Note 2 2 2 2 3 2 3" xfId="24355" xr:uid="{00000000-0005-0000-0000-0000AC340000}"/>
    <cellStyle name="Note 2 2 2 2 3 3" xfId="15142" xr:uid="{00000000-0005-0000-0000-0000AD340000}"/>
    <cellStyle name="Note 2 2 2 2 3 3 2" xfId="29974" xr:uid="{00000000-0005-0000-0000-0000AE340000}"/>
    <cellStyle name="Note 2 2 2 2 3 4" xfId="11501" xr:uid="{00000000-0005-0000-0000-0000AF340000}"/>
    <cellStyle name="Note 2 2 2 2 3 4 2" xfId="26333" xr:uid="{00000000-0005-0000-0000-0000B0340000}"/>
    <cellStyle name="Note 2 2 2 2 3 5" xfId="21893" xr:uid="{00000000-0005-0000-0000-0000B1340000}"/>
    <cellStyle name="Note 2 2 2 2 4" xfId="2808" xr:uid="{00000000-0005-0000-0000-0000B2340000}"/>
    <cellStyle name="Note 2 2 2 2 4 2" xfId="6899" xr:uid="{00000000-0005-0000-0000-0000B3340000}"/>
    <cellStyle name="Note 2 2 2 2 4 2 2" xfId="16792" xr:uid="{00000000-0005-0000-0000-0000B4340000}"/>
    <cellStyle name="Note 2 2 2 2 4 2 2 2" xfId="31624" xr:uid="{00000000-0005-0000-0000-0000B5340000}"/>
    <cellStyle name="Note 2 2 2 2 4 2 3" xfId="23106" xr:uid="{00000000-0005-0000-0000-0000B6340000}"/>
    <cellStyle name="Note 2 2 2 2 4 3" xfId="13146" xr:uid="{00000000-0005-0000-0000-0000B7340000}"/>
    <cellStyle name="Note 2 2 2 2 4 3 2" xfId="27978" xr:uid="{00000000-0005-0000-0000-0000B8340000}"/>
    <cellStyle name="Note 2 2 2 2 4 4" xfId="10445" xr:uid="{00000000-0005-0000-0000-0000B9340000}"/>
    <cellStyle name="Note 2 2 2 2 4 4 2" xfId="25277" xr:uid="{00000000-0005-0000-0000-0000BA340000}"/>
    <cellStyle name="Note 2 2 2 2 4 5" xfId="20766" xr:uid="{00000000-0005-0000-0000-0000BB340000}"/>
    <cellStyle name="Note 2 2 2 2 5" xfId="5972" xr:uid="{00000000-0005-0000-0000-0000BC340000}"/>
    <cellStyle name="Note 2 2 2 2 5 2" xfId="16164" xr:uid="{00000000-0005-0000-0000-0000BD340000}"/>
    <cellStyle name="Note 2 2 2 2 5 2 2" xfId="30996" xr:uid="{00000000-0005-0000-0000-0000BE340000}"/>
    <cellStyle name="Note 2 2 2 2 5 3" xfId="22537" xr:uid="{00000000-0005-0000-0000-0000BF340000}"/>
    <cellStyle name="Note 2 2 2 2 6" xfId="12234" xr:uid="{00000000-0005-0000-0000-0000C0340000}"/>
    <cellStyle name="Note 2 2 2 2 6 2" xfId="27066" xr:uid="{00000000-0005-0000-0000-0000C1340000}"/>
    <cellStyle name="Note 2 2 2 2 7" xfId="9830" xr:uid="{00000000-0005-0000-0000-0000C2340000}"/>
    <cellStyle name="Note 2 2 2 2 7 2" xfId="24756" xr:uid="{00000000-0005-0000-0000-0000C3340000}"/>
    <cellStyle name="Note 2 2 2 2 8" xfId="20314" xr:uid="{00000000-0005-0000-0000-0000C4340000}"/>
    <cellStyle name="Note 2 2 2 3" xfId="3463" xr:uid="{00000000-0005-0000-0000-0000C5340000}"/>
    <cellStyle name="Note 2 2 2 3 2" xfId="7526" xr:uid="{00000000-0005-0000-0000-0000C6340000}"/>
    <cellStyle name="Note 2 2 2 3 2 2" xfId="17202" xr:uid="{00000000-0005-0000-0000-0000C7340000}"/>
    <cellStyle name="Note 2 2 2 3 2 2 2" xfId="32034" xr:uid="{00000000-0005-0000-0000-0000C8340000}"/>
    <cellStyle name="Note 2 2 2 3 2 3" xfId="23493" xr:uid="{00000000-0005-0000-0000-0000C9340000}"/>
    <cellStyle name="Note 2 2 2 3 3" xfId="13800" xr:uid="{00000000-0005-0000-0000-0000CA340000}"/>
    <cellStyle name="Note 2 2 2 3 3 2" xfId="28632" xr:uid="{00000000-0005-0000-0000-0000CB340000}"/>
    <cellStyle name="Note 2 2 2 3 4" xfId="10821" xr:uid="{00000000-0005-0000-0000-0000CC340000}"/>
    <cellStyle name="Note 2 2 2 3 4 2" xfId="25653" xr:uid="{00000000-0005-0000-0000-0000CD340000}"/>
    <cellStyle name="Note 2 2 2 3 5" xfId="21168" xr:uid="{00000000-0005-0000-0000-0000CE340000}"/>
    <cellStyle name="Note 2 2 2 4" xfId="4398" xr:uid="{00000000-0005-0000-0000-0000CF340000}"/>
    <cellStyle name="Note 2 2 2 4 2" xfId="8437" xr:uid="{00000000-0005-0000-0000-0000D0340000}"/>
    <cellStyle name="Note 2 2 2 4 2 2" xfId="17658" xr:uid="{00000000-0005-0000-0000-0000D1340000}"/>
    <cellStyle name="Note 2 2 2 4 2 2 2" xfId="32490" xr:uid="{00000000-0005-0000-0000-0000D2340000}"/>
    <cellStyle name="Note 2 2 2 4 2 3" xfId="24095" xr:uid="{00000000-0005-0000-0000-0000D3340000}"/>
    <cellStyle name="Note 2 2 2 4 3" xfId="14727" xr:uid="{00000000-0005-0000-0000-0000D4340000}"/>
    <cellStyle name="Note 2 2 2 4 3 2" xfId="29559" xr:uid="{00000000-0005-0000-0000-0000D5340000}"/>
    <cellStyle name="Note 2 2 2 4 4" xfId="11266" xr:uid="{00000000-0005-0000-0000-0000D6340000}"/>
    <cellStyle name="Note 2 2 2 4 4 2" xfId="26098" xr:uid="{00000000-0005-0000-0000-0000D7340000}"/>
    <cellStyle name="Note 2 2 2 4 5" xfId="21663" xr:uid="{00000000-0005-0000-0000-0000D8340000}"/>
    <cellStyle name="Note 2 2 2 5" xfId="2388" xr:uid="{00000000-0005-0000-0000-0000D9340000}"/>
    <cellStyle name="Note 2 2 2 5 2" xfId="6500" xr:uid="{00000000-0005-0000-0000-0000DA340000}"/>
    <cellStyle name="Note 2 2 2 5 2 2" xfId="16556" xr:uid="{00000000-0005-0000-0000-0000DB340000}"/>
    <cellStyle name="Note 2 2 2 5 2 2 2" xfId="31388" xr:uid="{00000000-0005-0000-0000-0000DC340000}"/>
    <cellStyle name="Note 2 2 2 5 2 3" xfId="22870" xr:uid="{00000000-0005-0000-0000-0000DD340000}"/>
    <cellStyle name="Note 2 2 2 5 3" xfId="12727" xr:uid="{00000000-0005-0000-0000-0000DE340000}"/>
    <cellStyle name="Note 2 2 2 5 3 2" xfId="27559" xr:uid="{00000000-0005-0000-0000-0000DF340000}"/>
    <cellStyle name="Note 2 2 2 5 4" xfId="10206" xr:uid="{00000000-0005-0000-0000-0000E0340000}"/>
    <cellStyle name="Note 2 2 2 5 4 2" xfId="25038" xr:uid="{00000000-0005-0000-0000-0000E1340000}"/>
    <cellStyle name="Note 2 2 2 5 5" xfId="20512" xr:uid="{00000000-0005-0000-0000-0000E2340000}"/>
    <cellStyle name="Note 2 2 2 6" xfId="5513" xr:uid="{00000000-0005-0000-0000-0000E3340000}"/>
    <cellStyle name="Note 2 2 2 6 2" xfId="15748" xr:uid="{00000000-0005-0000-0000-0000E4340000}"/>
    <cellStyle name="Note 2 2 2 6 2 2" xfId="30580" xr:uid="{00000000-0005-0000-0000-0000E5340000}"/>
    <cellStyle name="Note 2 2 2 6 3" xfId="22241" xr:uid="{00000000-0005-0000-0000-0000E6340000}"/>
    <cellStyle name="Note 2 2 2 7" xfId="11763" xr:uid="{00000000-0005-0000-0000-0000E7340000}"/>
    <cellStyle name="Note 2 2 2 7 2" xfId="26595" xr:uid="{00000000-0005-0000-0000-0000E8340000}"/>
    <cellStyle name="Note 2 2 2 8" xfId="9434" xr:uid="{00000000-0005-0000-0000-0000E9340000}"/>
    <cellStyle name="Note 2 2 2 8 2" xfId="19738" xr:uid="{00000000-0005-0000-0000-0000EA340000}"/>
    <cellStyle name="Note 2 2 3" xfId="1504" xr:uid="{00000000-0005-0000-0000-0000EB340000}"/>
    <cellStyle name="Note 2 2 3 2" xfId="2001" xr:uid="{00000000-0005-0000-0000-0000EC340000}"/>
    <cellStyle name="Note 2 2 3 2 2" xfId="3628" xr:uid="{00000000-0005-0000-0000-0000ED340000}"/>
    <cellStyle name="Note 2 2 3 2 2 2" xfId="7687" xr:uid="{00000000-0005-0000-0000-0000EE340000}"/>
    <cellStyle name="Note 2 2 3 2 2 2 2" xfId="17288" xr:uid="{00000000-0005-0000-0000-0000EF340000}"/>
    <cellStyle name="Note 2 2 3 2 2 2 2 2" xfId="32120" xr:uid="{00000000-0005-0000-0000-0000F0340000}"/>
    <cellStyle name="Note 2 2 3 2 2 2 3" xfId="23595" xr:uid="{00000000-0005-0000-0000-0000F1340000}"/>
    <cellStyle name="Note 2 2 3 2 2 3" xfId="13963" xr:uid="{00000000-0005-0000-0000-0000F2340000}"/>
    <cellStyle name="Note 2 2 3 2 2 3 2" xfId="28795" xr:uid="{00000000-0005-0000-0000-0000F3340000}"/>
    <cellStyle name="Note 2 2 3 2 2 4" xfId="10904" xr:uid="{00000000-0005-0000-0000-0000F4340000}"/>
    <cellStyle name="Note 2 2 3 2 2 4 2" xfId="25736" xr:uid="{00000000-0005-0000-0000-0000F5340000}"/>
    <cellStyle name="Note 2 2 3 2 2 5" xfId="21260" xr:uid="{00000000-0005-0000-0000-0000F6340000}"/>
    <cellStyle name="Note 2 2 3 2 3" xfId="4969" xr:uid="{00000000-0005-0000-0000-0000F7340000}"/>
    <cellStyle name="Note 2 2 3 2 3 2" xfId="9008" xr:uid="{00000000-0005-0000-0000-0000F8340000}"/>
    <cellStyle name="Note 2 2 3 2 3 2 2" xfId="17948" xr:uid="{00000000-0005-0000-0000-0000F9340000}"/>
    <cellStyle name="Note 2 2 3 2 3 2 2 2" xfId="32780" xr:uid="{00000000-0005-0000-0000-0000FA340000}"/>
    <cellStyle name="Note 2 2 3 2 3 2 3" xfId="24474" xr:uid="{00000000-0005-0000-0000-0000FB340000}"/>
    <cellStyle name="Note 2 2 3 2 3 3" xfId="15291" xr:uid="{00000000-0005-0000-0000-0000FC340000}"/>
    <cellStyle name="Note 2 2 3 2 3 3 2" xfId="30123" xr:uid="{00000000-0005-0000-0000-0000FD340000}"/>
    <cellStyle name="Note 2 2 3 2 3 4" xfId="11549" xr:uid="{00000000-0005-0000-0000-0000FE340000}"/>
    <cellStyle name="Note 2 2 3 2 3 4 2" xfId="26381" xr:uid="{00000000-0005-0000-0000-0000FF340000}"/>
    <cellStyle name="Note 2 2 3 2 3 5" xfId="22000" xr:uid="{00000000-0005-0000-0000-000000350000}"/>
    <cellStyle name="Note 2 2 3 2 4" xfId="2959" xr:uid="{00000000-0005-0000-0000-000001350000}"/>
    <cellStyle name="Note 2 2 3 2 4 2" xfId="7039" xr:uid="{00000000-0005-0000-0000-000002350000}"/>
    <cellStyle name="Note 2 2 3 2 4 2 2" xfId="16840" xr:uid="{00000000-0005-0000-0000-000003350000}"/>
    <cellStyle name="Note 2 2 3 2 4 2 2 2" xfId="31672" xr:uid="{00000000-0005-0000-0000-000004350000}"/>
    <cellStyle name="Note 2 2 3 2 4 2 3" xfId="23213" xr:uid="{00000000-0005-0000-0000-000005350000}"/>
    <cellStyle name="Note 2 2 3 2 4 3" xfId="13297" xr:uid="{00000000-0005-0000-0000-000006350000}"/>
    <cellStyle name="Note 2 2 3 2 4 3 2" xfId="28129" xr:uid="{00000000-0005-0000-0000-000007350000}"/>
    <cellStyle name="Note 2 2 3 2 4 4" xfId="10495" xr:uid="{00000000-0005-0000-0000-000008350000}"/>
    <cellStyle name="Note 2 2 3 2 4 4 2" xfId="25327" xr:uid="{00000000-0005-0000-0000-000009350000}"/>
    <cellStyle name="Note 2 2 3 2 4 5" xfId="20885" xr:uid="{00000000-0005-0000-0000-00000A350000}"/>
    <cellStyle name="Note 2 2 3 2 5" xfId="6131" xr:uid="{00000000-0005-0000-0000-00000B350000}"/>
    <cellStyle name="Note 2 2 3 2 5 2" xfId="16318" xr:uid="{00000000-0005-0000-0000-00000C350000}"/>
    <cellStyle name="Note 2 2 3 2 5 2 2" xfId="31150" xr:uid="{00000000-0005-0000-0000-00000D350000}"/>
    <cellStyle name="Note 2 2 3 2 5 3" xfId="22664" xr:uid="{00000000-0005-0000-0000-00000E350000}"/>
    <cellStyle name="Note 2 2 3 2 6" xfId="12388" xr:uid="{00000000-0005-0000-0000-00000F350000}"/>
    <cellStyle name="Note 2 2 3 2 6 2" xfId="27220" xr:uid="{00000000-0005-0000-0000-000010350000}"/>
    <cellStyle name="Note 2 2 3 2 7" xfId="9970" xr:uid="{00000000-0005-0000-0000-000011350000}"/>
    <cellStyle name="Note 2 2 3 2 7 2" xfId="24804" xr:uid="{00000000-0005-0000-0000-000012350000}"/>
    <cellStyle name="Note 2 2 3 2 8" xfId="20345" xr:uid="{00000000-0005-0000-0000-000013350000}"/>
    <cellStyle name="Note 2 2 3 3" xfId="4300" xr:uid="{00000000-0005-0000-0000-000014350000}"/>
    <cellStyle name="Note 2 2 3 3 2" xfId="8339" xr:uid="{00000000-0005-0000-0000-000015350000}"/>
    <cellStyle name="Note 2 2 3 3 2 2" xfId="17618" xr:uid="{00000000-0005-0000-0000-000016350000}"/>
    <cellStyle name="Note 2 2 3 3 2 2 2" xfId="32450" xr:uid="{00000000-0005-0000-0000-000017350000}"/>
    <cellStyle name="Note 2 2 3 3 2 3" xfId="24024" xr:uid="{00000000-0005-0000-0000-000018350000}"/>
    <cellStyle name="Note 2 2 3 3 3" xfId="14631" xr:uid="{00000000-0005-0000-0000-000019350000}"/>
    <cellStyle name="Note 2 2 3 3 3 2" xfId="29463" xr:uid="{00000000-0005-0000-0000-00001A350000}"/>
    <cellStyle name="Note 2 2 3 3 4" xfId="11230" xr:uid="{00000000-0005-0000-0000-00001B350000}"/>
    <cellStyle name="Note 2 2 3 3 4 2" xfId="26062" xr:uid="{00000000-0005-0000-0000-00001C350000}"/>
    <cellStyle name="Note 2 2 3 3 5" xfId="21621" xr:uid="{00000000-0005-0000-0000-00001D350000}"/>
    <cellStyle name="Note 2 2 3 4" xfId="4549" xr:uid="{00000000-0005-0000-0000-00001E350000}"/>
    <cellStyle name="Note 2 2 3 4 2" xfId="8588" xr:uid="{00000000-0005-0000-0000-00001F350000}"/>
    <cellStyle name="Note 2 2 3 4 2 2" xfId="17708" xr:uid="{00000000-0005-0000-0000-000020350000}"/>
    <cellStyle name="Note 2 2 3 4 2 2 2" xfId="32540" xr:uid="{00000000-0005-0000-0000-000021350000}"/>
    <cellStyle name="Note 2 2 3 4 2 3" xfId="24214" xr:uid="{00000000-0005-0000-0000-000022350000}"/>
    <cellStyle name="Note 2 2 3 4 3" xfId="14876" xr:uid="{00000000-0005-0000-0000-000023350000}"/>
    <cellStyle name="Note 2 2 3 4 3 2" xfId="29708" xr:uid="{00000000-0005-0000-0000-000024350000}"/>
    <cellStyle name="Note 2 2 3 4 4" xfId="11314" xr:uid="{00000000-0005-0000-0000-000025350000}"/>
    <cellStyle name="Note 2 2 3 4 4 2" xfId="26146" xr:uid="{00000000-0005-0000-0000-000026350000}"/>
    <cellStyle name="Note 2 2 3 4 5" xfId="21770" xr:uid="{00000000-0005-0000-0000-000027350000}"/>
    <cellStyle name="Note 2 2 3 5" xfId="2539" xr:uid="{00000000-0005-0000-0000-000028350000}"/>
    <cellStyle name="Note 2 2 3 5 2" xfId="6645" xr:uid="{00000000-0005-0000-0000-000029350000}"/>
    <cellStyle name="Note 2 2 3 5 2 2" xfId="16605" xr:uid="{00000000-0005-0000-0000-00002A350000}"/>
    <cellStyle name="Note 2 2 3 5 2 2 2" xfId="31437" xr:uid="{00000000-0005-0000-0000-00002B350000}"/>
    <cellStyle name="Note 2 2 3 5 2 3" xfId="22983" xr:uid="{00000000-0005-0000-0000-00002C350000}"/>
    <cellStyle name="Note 2 2 3 5 3" xfId="12877" xr:uid="{00000000-0005-0000-0000-00002D350000}"/>
    <cellStyle name="Note 2 2 3 5 3 2" xfId="27709" xr:uid="{00000000-0005-0000-0000-00002E350000}"/>
    <cellStyle name="Note 2 2 3 5 4" xfId="10255" xr:uid="{00000000-0005-0000-0000-00002F350000}"/>
    <cellStyle name="Note 2 2 3 5 4 2" xfId="25087" xr:uid="{00000000-0005-0000-0000-000030350000}"/>
    <cellStyle name="Note 2 2 3 5 5" xfId="20625" xr:uid="{00000000-0005-0000-0000-000031350000}"/>
    <cellStyle name="Note 2 2 3 6" xfId="5662" xr:uid="{00000000-0005-0000-0000-000032350000}"/>
    <cellStyle name="Note 2 2 3 6 2" xfId="15897" xr:uid="{00000000-0005-0000-0000-000033350000}"/>
    <cellStyle name="Note 2 2 3 6 2 2" xfId="30729" xr:uid="{00000000-0005-0000-0000-000034350000}"/>
    <cellStyle name="Note 2 2 3 6 3" xfId="22358" xr:uid="{00000000-0005-0000-0000-000035350000}"/>
    <cellStyle name="Note 2 2 3 7" xfId="11917" xr:uid="{00000000-0005-0000-0000-000036350000}"/>
    <cellStyle name="Note 2 2 3 7 2" xfId="26749" xr:uid="{00000000-0005-0000-0000-000037350000}"/>
    <cellStyle name="Note 2 2 3 8" xfId="9575" xr:uid="{00000000-0005-0000-0000-000038350000}"/>
    <cellStyle name="Note 2 2 3 8 2" xfId="19877" xr:uid="{00000000-0005-0000-0000-000039350000}"/>
    <cellStyle name="Note 2 2 4" xfId="1561" xr:uid="{00000000-0005-0000-0000-00003A350000}"/>
    <cellStyle name="Note 2 2 4 2" xfId="2058" xr:uid="{00000000-0005-0000-0000-00003B350000}"/>
    <cellStyle name="Note 2 2 4 2 2" xfId="3399" xr:uid="{00000000-0005-0000-0000-00003C350000}"/>
    <cellStyle name="Note 2 2 4 2 2 2" xfId="7462" xr:uid="{00000000-0005-0000-0000-00003D350000}"/>
    <cellStyle name="Note 2 2 4 2 2 2 2" xfId="17161" xr:uid="{00000000-0005-0000-0000-00003E350000}"/>
    <cellStyle name="Note 2 2 4 2 2 2 2 2" xfId="31993" xr:uid="{00000000-0005-0000-0000-00003F350000}"/>
    <cellStyle name="Note 2 2 4 2 2 2 3" xfId="23450" xr:uid="{00000000-0005-0000-0000-000040350000}"/>
    <cellStyle name="Note 2 2 4 2 2 3" xfId="13736" xr:uid="{00000000-0005-0000-0000-000041350000}"/>
    <cellStyle name="Note 2 2 4 2 2 3 2" xfId="28568" xr:uid="{00000000-0005-0000-0000-000042350000}"/>
    <cellStyle name="Note 2 2 4 2 2 4" xfId="10780" xr:uid="{00000000-0005-0000-0000-000043350000}"/>
    <cellStyle name="Note 2 2 4 2 2 4 2" xfId="25612" xr:uid="{00000000-0005-0000-0000-000044350000}"/>
    <cellStyle name="Note 2 2 4 2 2 5" xfId="21128" xr:uid="{00000000-0005-0000-0000-000045350000}"/>
    <cellStyle name="Note 2 2 4 2 3" xfId="5026" xr:uid="{00000000-0005-0000-0000-000046350000}"/>
    <cellStyle name="Note 2 2 4 2 3 2" xfId="9065" xr:uid="{00000000-0005-0000-0000-000047350000}"/>
    <cellStyle name="Note 2 2 4 2 3 2 2" xfId="17998" xr:uid="{00000000-0005-0000-0000-000048350000}"/>
    <cellStyle name="Note 2 2 4 2 3 2 2 2" xfId="32830" xr:uid="{00000000-0005-0000-0000-000049350000}"/>
    <cellStyle name="Note 2 2 4 2 3 2 3" xfId="24499" xr:uid="{00000000-0005-0000-0000-00004A350000}"/>
    <cellStyle name="Note 2 2 4 2 3 3" xfId="15347" xr:uid="{00000000-0005-0000-0000-00004B350000}"/>
    <cellStyle name="Note 2 2 4 2 3 3 2" xfId="30179" xr:uid="{00000000-0005-0000-0000-00004C350000}"/>
    <cellStyle name="Note 2 2 4 2 3 4" xfId="11598" xr:uid="{00000000-0005-0000-0000-00004D350000}"/>
    <cellStyle name="Note 2 2 4 2 3 4 2" xfId="26430" xr:uid="{00000000-0005-0000-0000-00004E350000}"/>
    <cellStyle name="Note 2 2 4 2 3 5" xfId="22019" xr:uid="{00000000-0005-0000-0000-00004F350000}"/>
    <cellStyle name="Note 2 2 4 2 4" xfId="3016" xr:uid="{00000000-0005-0000-0000-000050350000}"/>
    <cellStyle name="Note 2 2 4 2 4 2" xfId="7091" xr:uid="{00000000-0005-0000-0000-000051350000}"/>
    <cellStyle name="Note 2 2 4 2 4 2 2" xfId="16889" xr:uid="{00000000-0005-0000-0000-000052350000}"/>
    <cellStyle name="Note 2 2 4 2 4 2 2 2" xfId="31721" xr:uid="{00000000-0005-0000-0000-000053350000}"/>
    <cellStyle name="Note 2 2 4 2 4 2 3" xfId="23232" xr:uid="{00000000-0005-0000-0000-000054350000}"/>
    <cellStyle name="Note 2 2 4 2 4 3" xfId="13354" xr:uid="{00000000-0005-0000-0000-000055350000}"/>
    <cellStyle name="Note 2 2 4 2 4 3 2" xfId="28186" xr:uid="{00000000-0005-0000-0000-000056350000}"/>
    <cellStyle name="Note 2 2 4 2 4 4" xfId="10545" xr:uid="{00000000-0005-0000-0000-000057350000}"/>
    <cellStyle name="Note 2 2 4 2 4 4 2" xfId="25377" xr:uid="{00000000-0005-0000-0000-000058350000}"/>
    <cellStyle name="Note 2 2 4 2 4 5" xfId="20910" xr:uid="{00000000-0005-0000-0000-000059350000}"/>
    <cellStyle name="Note 2 2 4 2 5" xfId="6183" xr:uid="{00000000-0005-0000-0000-00005A350000}"/>
    <cellStyle name="Note 2 2 4 2 5 2" xfId="16369" xr:uid="{00000000-0005-0000-0000-00005B350000}"/>
    <cellStyle name="Note 2 2 4 2 5 2 2" xfId="31201" xr:uid="{00000000-0005-0000-0000-00005C350000}"/>
    <cellStyle name="Note 2 2 4 2 5 3" xfId="22683" xr:uid="{00000000-0005-0000-0000-00005D350000}"/>
    <cellStyle name="Note 2 2 4 2 6" xfId="12439" xr:uid="{00000000-0005-0000-0000-00005E350000}"/>
    <cellStyle name="Note 2 2 4 2 6 2" xfId="27271" xr:uid="{00000000-0005-0000-0000-00005F350000}"/>
    <cellStyle name="Note 2 2 4 2 7" xfId="10021" xr:uid="{00000000-0005-0000-0000-000060350000}"/>
    <cellStyle name="Note 2 2 4 2 7 2" xfId="24853" xr:uid="{00000000-0005-0000-0000-000061350000}"/>
    <cellStyle name="Note 2 2 4 2 8" xfId="20362" xr:uid="{00000000-0005-0000-0000-000062350000}"/>
    <cellStyle name="Note 2 2 4 3" xfId="3328" xr:uid="{00000000-0005-0000-0000-000063350000}"/>
    <cellStyle name="Note 2 2 4 3 2" xfId="7391" xr:uid="{00000000-0005-0000-0000-000064350000}"/>
    <cellStyle name="Note 2 2 4 3 2 2" xfId="17124" xr:uid="{00000000-0005-0000-0000-000065350000}"/>
    <cellStyle name="Note 2 2 4 3 2 2 2" xfId="31956" xr:uid="{00000000-0005-0000-0000-000066350000}"/>
    <cellStyle name="Note 2 2 4 3 2 3" xfId="23401" xr:uid="{00000000-0005-0000-0000-000067350000}"/>
    <cellStyle name="Note 2 2 4 3 3" xfId="13665" xr:uid="{00000000-0005-0000-0000-000068350000}"/>
    <cellStyle name="Note 2 2 4 3 3 2" xfId="28497" xr:uid="{00000000-0005-0000-0000-000069350000}"/>
    <cellStyle name="Note 2 2 4 3 4" xfId="10745" xr:uid="{00000000-0005-0000-0000-00006A350000}"/>
    <cellStyle name="Note 2 2 4 3 4 2" xfId="25577" xr:uid="{00000000-0005-0000-0000-00006B350000}"/>
    <cellStyle name="Note 2 2 4 3 5" xfId="21089" xr:uid="{00000000-0005-0000-0000-00006C350000}"/>
    <cellStyle name="Note 2 2 4 4" xfId="4606" xr:uid="{00000000-0005-0000-0000-00006D350000}"/>
    <cellStyle name="Note 2 2 4 4 2" xfId="8645" xr:uid="{00000000-0005-0000-0000-00006E350000}"/>
    <cellStyle name="Note 2 2 4 4 2 2" xfId="17758" xr:uid="{00000000-0005-0000-0000-00006F350000}"/>
    <cellStyle name="Note 2 2 4 4 2 2 2" xfId="32590" xr:uid="{00000000-0005-0000-0000-000070350000}"/>
    <cellStyle name="Note 2 2 4 4 2 3" xfId="24239" xr:uid="{00000000-0005-0000-0000-000071350000}"/>
    <cellStyle name="Note 2 2 4 4 3" xfId="14932" xr:uid="{00000000-0005-0000-0000-000072350000}"/>
    <cellStyle name="Note 2 2 4 4 3 2" xfId="29764" xr:uid="{00000000-0005-0000-0000-000073350000}"/>
    <cellStyle name="Note 2 2 4 4 4" xfId="11363" xr:uid="{00000000-0005-0000-0000-000074350000}"/>
    <cellStyle name="Note 2 2 4 4 4 2" xfId="26195" xr:uid="{00000000-0005-0000-0000-000075350000}"/>
    <cellStyle name="Note 2 2 4 4 5" xfId="21789" xr:uid="{00000000-0005-0000-0000-000076350000}"/>
    <cellStyle name="Note 2 2 4 5" xfId="2596" xr:uid="{00000000-0005-0000-0000-000077350000}"/>
    <cellStyle name="Note 2 2 4 5 2" xfId="6697" xr:uid="{00000000-0005-0000-0000-000078350000}"/>
    <cellStyle name="Note 2 2 4 5 2 2" xfId="16654" xr:uid="{00000000-0005-0000-0000-000079350000}"/>
    <cellStyle name="Note 2 2 4 5 2 2 2" xfId="31486" xr:uid="{00000000-0005-0000-0000-00007A350000}"/>
    <cellStyle name="Note 2 2 4 5 2 3" xfId="23002" xr:uid="{00000000-0005-0000-0000-00007B350000}"/>
    <cellStyle name="Note 2 2 4 5 3" xfId="12934" xr:uid="{00000000-0005-0000-0000-00007C350000}"/>
    <cellStyle name="Note 2 2 4 5 3 2" xfId="27766" xr:uid="{00000000-0005-0000-0000-00007D350000}"/>
    <cellStyle name="Note 2 2 4 5 4" xfId="10305" xr:uid="{00000000-0005-0000-0000-00007E350000}"/>
    <cellStyle name="Note 2 2 4 5 4 2" xfId="25137" xr:uid="{00000000-0005-0000-0000-00007F350000}"/>
    <cellStyle name="Note 2 2 4 5 5" xfId="20650" xr:uid="{00000000-0005-0000-0000-000080350000}"/>
    <cellStyle name="Note 2 2 4 6" xfId="5713" xr:uid="{00000000-0005-0000-0000-000081350000}"/>
    <cellStyle name="Note 2 2 4 6 2" xfId="15948" xr:uid="{00000000-0005-0000-0000-000082350000}"/>
    <cellStyle name="Note 2 2 4 6 2 2" xfId="30780" xr:uid="{00000000-0005-0000-0000-000083350000}"/>
    <cellStyle name="Note 2 2 4 6 3" xfId="22377" xr:uid="{00000000-0005-0000-0000-000084350000}"/>
    <cellStyle name="Note 2 2 4 7" xfId="11968" xr:uid="{00000000-0005-0000-0000-000085350000}"/>
    <cellStyle name="Note 2 2 4 7 2" xfId="26800" xr:uid="{00000000-0005-0000-0000-000086350000}"/>
    <cellStyle name="Note 2 2 4 8" xfId="9627" xr:uid="{00000000-0005-0000-0000-000087350000}"/>
    <cellStyle name="Note 2 2 4 8 2" xfId="19928" xr:uid="{00000000-0005-0000-0000-000088350000}"/>
    <cellStyle name="Note 2 2 5" xfId="1535" xr:uid="{00000000-0005-0000-0000-000089350000}"/>
    <cellStyle name="Note 2 2 5 2" xfId="2032" xr:uid="{00000000-0005-0000-0000-00008A350000}"/>
    <cellStyle name="Note 2 2 5 2 2" xfId="3428" xr:uid="{00000000-0005-0000-0000-00008B350000}"/>
    <cellStyle name="Note 2 2 5 2 2 2" xfId="7491" xr:uid="{00000000-0005-0000-0000-00008C350000}"/>
    <cellStyle name="Note 2 2 5 2 2 2 2" xfId="17185" xr:uid="{00000000-0005-0000-0000-00008D350000}"/>
    <cellStyle name="Note 2 2 5 2 2 2 2 2" xfId="32017" xr:uid="{00000000-0005-0000-0000-00008E350000}"/>
    <cellStyle name="Note 2 2 5 2 2 2 3" xfId="23469" xr:uid="{00000000-0005-0000-0000-00008F350000}"/>
    <cellStyle name="Note 2 2 5 2 2 3" xfId="13765" xr:uid="{00000000-0005-0000-0000-000090350000}"/>
    <cellStyle name="Note 2 2 5 2 2 3 2" xfId="28597" xr:uid="{00000000-0005-0000-0000-000091350000}"/>
    <cellStyle name="Note 2 2 5 2 2 4" xfId="10804" xr:uid="{00000000-0005-0000-0000-000092350000}"/>
    <cellStyle name="Note 2 2 5 2 2 4 2" xfId="25636" xr:uid="{00000000-0005-0000-0000-000093350000}"/>
    <cellStyle name="Note 2 2 5 2 2 5" xfId="21145" xr:uid="{00000000-0005-0000-0000-000094350000}"/>
    <cellStyle name="Note 2 2 5 2 3" xfId="5000" xr:uid="{00000000-0005-0000-0000-000095350000}"/>
    <cellStyle name="Note 2 2 5 2 3 2" xfId="9039" xr:uid="{00000000-0005-0000-0000-000096350000}"/>
    <cellStyle name="Note 2 2 5 2 3 2 2" xfId="17977" xr:uid="{00000000-0005-0000-0000-000097350000}"/>
    <cellStyle name="Note 2 2 5 2 3 2 2 2" xfId="32809" xr:uid="{00000000-0005-0000-0000-000098350000}"/>
    <cellStyle name="Note 2 2 5 2 3 2 3" xfId="24489" xr:uid="{00000000-0005-0000-0000-000099350000}"/>
    <cellStyle name="Note 2 2 5 2 3 3" xfId="15322" xr:uid="{00000000-0005-0000-0000-00009A350000}"/>
    <cellStyle name="Note 2 2 5 2 3 3 2" xfId="30154" xr:uid="{00000000-0005-0000-0000-00009B350000}"/>
    <cellStyle name="Note 2 2 5 2 3 4" xfId="11578" xr:uid="{00000000-0005-0000-0000-00009C350000}"/>
    <cellStyle name="Note 2 2 5 2 3 4 2" xfId="26410" xr:uid="{00000000-0005-0000-0000-00009D350000}"/>
    <cellStyle name="Note 2 2 5 2 3 5" xfId="22015" xr:uid="{00000000-0005-0000-0000-00009E350000}"/>
    <cellStyle name="Note 2 2 5 2 4" xfId="2990" xr:uid="{00000000-0005-0000-0000-00009F350000}"/>
    <cellStyle name="Note 2 2 5 2 4 2" xfId="7070" xr:uid="{00000000-0005-0000-0000-0000A0350000}"/>
    <cellStyle name="Note 2 2 5 2 4 2 2" xfId="16869" xr:uid="{00000000-0005-0000-0000-0000A1350000}"/>
    <cellStyle name="Note 2 2 5 2 4 2 2 2" xfId="31701" xr:uid="{00000000-0005-0000-0000-0000A2350000}"/>
    <cellStyle name="Note 2 2 5 2 4 2 3" xfId="23228" xr:uid="{00000000-0005-0000-0000-0000A3350000}"/>
    <cellStyle name="Note 2 2 5 2 4 3" xfId="13328" xr:uid="{00000000-0005-0000-0000-0000A4350000}"/>
    <cellStyle name="Note 2 2 5 2 4 3 2" xfId="28160" xr:uid="{00000000-0005-0000-0000-0000A5350000}"/>
    <cellStyle name="Note 2 2 5 2 4 4" xfId="10524" xr:uid="{00000000-0005-0000-0000-0000A6350000}"/>
    <cellStyle name="Note 2 2 5 2 4 4 2" xfId="25356" xr:uid="{00000000-0005-0000-0000-0000A7350000}"/>
    <cellStyle name="Note 2 2 5 2 4 5" xfId="20900" xr:uid="{00000000-0005-0000-0000-0000A8350000}"/>
    <cellStyle name="Note 2 2 5 2 5" xfId="6162" xr:uid="{00000000-0005-0000-0000-0000A9350000}"/>
    <cellStyle name="Note 2 2 5 2 5 2" xfId="16349" xr:uid="{00000000-0005-0000-0000-0000AA350000}"/>
    <cellStyle name="Note 2 2 5 2 5 2 2" xfId="31181" xr:uid="{00000000-0005-0000-0000-0000AB350000}"/>
    <cellStyle name="Note 2 2 5 2 5 3" xfId="22679" xr:uid="{00000000-0005-0000-0000-0000AC350000}"/>
    <cellStyle name="Note 2 2 5 2 6" xfId="12419" xr:uid="{00000000-0005-0000-0000-0000AD350000}"/>
    <cellStyle name="Note 2 2 5 2 6 2" xfId="27251" xr:uid="{00000000-0005-0000-0000-0000AE350000}"/>
    <cellStyle name="Note 2 2 5 2 7" xfId="10001" xr:uid="{00000000-0005-0000-0000-0000AF350000}"/>
    <cellStyle name="Note 2 2 5 2 7 2" xfId="24833" xr:uid="{00000000-0005-0000-0000-0000B0350000}"/>
    <cellStyle name="Note 2 2 5 2 8" xfId="20358" xr:uid="{00000000-0005-0000-0000-0000B1350000}"/>
    <cellStyle name="Note 2 2 5 3" xfId="3271" xr:uid="{00000000-0005-0000-0000-0000B2350000}"/>
    <cellStyle name="Note 2 2 5 3 2" xfId="7335" xr:uid="{00000000-0005-0000-0000-0000B3350000}"/>
    <cellStyle name="Note 2 2 5 3 2 2" xfId="17079" xr:uid="{00000000-0005-0000-0000-0000B4350000}"/>
    <cellStyle name="Note 2 2 5 3 2 2 2" xfId="31911" xr:uid="{00000000-0005-0000-0000-0000B5350000}"/>
    <cellStyle name="Note 2 2 5 3 2 3" xfId="23367" xr:uid="{00000000-0005-0000-0000-0000B6350000}"/>
    <cellStyle name="Note 2 2 5 3 3" xfId="13608" xr:uid="{00000000-0005-0000-0000-0000B7350000}"/>
    <cellStyle name="Note 2 2 5 3 3 2" xfId="28440" xr:uid="{00000000-0005-0000-0000-0000B8350000}"/>
    <cellStyle name="Note 2 2 5 3 4" xfId="10707" xr:uid="{00000000-0005-0000-0000-0000B9350000}"/>
    <cellStyle name="Note 2 2 5 3 4 2" xfId="25539" xr:uid="{00000000-0005-0000-0000-0000BA350000}"/>
    <cellStyle name="Note 2 2 5 3 5" xfId="21054" xr:uid="{00000000-0005-0000-0000-0000BB350000}"/>
    <cellStyle name="Note 2 2 5 4" xfId="4580" xr:uid="{00000000-0005-0000-0000-0000BC350000}"/>
    <cellStyle name="Note 2 2 5 4 2" xfId="8619" xr:uid="{00000000-0005-0000-0000-0000BD350000}"/>
    <cellStyle name="Note 2 2 5 4 2 2" xfId="17737" xr:uid="{00000000-0005-0000-0000-0000BE350000}"/>
    <cellStyle name="Note 2 2 5 4 2 2 2" xfId="32569" xr:uid="{00000000-0005-0000-0000-0000BF350000}"/>
    <cellStyle name="Note 2 2 5 4 2 3" xfId="24229" xr:uid="{00000000-0005-0000-0000-0000C0350000}"/>
    <cellStyle name="Note 2 2 5 4 3" xfId="14907" xr:uid="{00000000-0005-0000-0000-0000C1350000}"/>
    <cellStyle name="Note 2 2 5 4 3 2" xfId="29739" xr:uid="{00000000-0005-0000-0000-0000C2350000}"/>
    <cellStyle name="Note 2 2 5 4 4" xfId="11343" xr:uid="{00000000-0005-0000-0000-0000C3350000}"/>
    <cellStyle name="Note 2 2 5 4 4 2" xfId="26175" xr:uid="{00000000-0005-0000-0000-0000C4350000}"/>
    <cellStyle name="Note 2 2 5 4 5" xfId="21785" xr:uid="{00000000-0005-0000-0000-0000C5350000}"/>
    <cellStyle name="Note 2 2 5 5" xfId="2570" xr:uid="{00000000-0005-0000-0000-0000C6350000}"/>
    <cellStyle name="Note 2 2 5 5 2" xfId="6676" xr:uid="{00000000-0005-0000-0000-0000C7350000}"/>
    <cellStyle name="Note 2 2 5 5 2 2" xfId="16634" xr:uid="{00000000-0005-0000-0000-0000C8350000}"/>
    <cellStyle name="Note 2 2 5 5 2 2 2" xfId="31466" xr:uid="{00000000-0005-0000-0000-0000C9350000}"/>
    <cellStyle name="Note 2 2 5 5 2 3" xfId="22998" xr:uid="{00000000-0005-0000-0000-0000CA350000}"/>
    <cellStyle name="Note 2 2 5 5 3" xfId="12908" xr:uid="{00000000-0005-0000-0000-0000CB350000}"/>
    <cellStyle name="Note 2 2 5 5 3 2" xfId="27740" xr:uid="{00000000-0005-0000-0000-0000CC350000}"/>
    <cellStyle name="Note 2 2 5 5 4" xfId="10284" xr:uid="{00000000-0005-0000-0000-0000CD350000}"/>
    <cellStyle name="Note 2 2 5 5 4 2" xfId="25116" xr:uid="{00000000-0005-0000-0000-0000CE350000}"/>
    <cellStyle name="Note 2 2 5 5 5" xfId="20640" xr:uid="{00000000-0005-0000-0000-0000CF350000}"/>
    <cellStyle name="Note 2 2 5 6" xfId="5693" xr:uid="{00000000-0005-0000-0000-0000D0350000}"/>
    <cellStyle name="Note 2 2 5 6 2" xfId="15928" xr:uid="{00000000-0005-0000-0000-0000D1350000}"/>
    <cellStyle name="Note 2 2 5 6 2 2" xfId="30760" xr:uid="{00000000-0005-0000-0000-0000D2350000}"/>
    <cellStyle name="Note 2 2 5 6 3" xfId="22373" xr:uid="{00000000-0005-0000-0000-0000D3350000}"/>
    <cellStyle name="Note 2 2 5 7" xfId="11948" xr:uid="{00000000-0005-0000-0000-0000D4350000}"/>
    <cellStyle name="Note 2 2 5 7 2" xfId="26780" xr:uid="{00000000-0005-0000-0000-0000D5350000}"/>
    <cellStyle name="Note 2 2 5 8" xfId="9606" xr:uid="{00000000-0005-0000-0000-0000D6350000}"/>
    <cellStyle name="Note 2 2 5 8 2" xfId="19908" xr:uid="{00000000-0005-0000-0000-0000D7350000}"/>
    <cellStyle name="Note 2 2 6" xfId="1762" xr:uid="{00000000-0005-0000-0000-0000D8350000}"/>
    <cellStyle name="Note 2 2 6 2" xfId="3654" xr:uid="{00000000-0005-0000-0000-0000D9350000}"/>
    <cellStyle name="Note 2 2 6 2 2" xfId="7713" xr:uid="{00000000-0005-0000-0000-0000DA350000}"/>
    <cellStyle name="Note 2 2 6 2 2 2" xfId="17303" xr:uid="{00000000-0005-0000-0000-0000DB350000}"/>
    <cellStyle name="Note 2 2 6 2 2 2 2" xfId="32135" xr:uid="{00000000-0005-0000-0000-0000DC350000}"/>
    <cellStyle name="Note 2 2 6 2 2 3" xfId="23610" xr:uid="{00000000-0005-0000-0000-0000DD350000}"/>
    <cellStyle name="Note 2 2 6 2 3" xfId="13989" xr:uid="{00000000-0005-0000-0000-0000DE350000}"/>
    <cellStyle name="Note 2 2 6 2 3 2" xfId="28821" xr:uid="{00000000-0005-0000-0000-0000DF350000}"/>
    <cellStyle name="Note 2 2 6 2 4" xfId="10919" xr:uid="{00000000-0005-0000-0000-0000E0350000}"/>
    <cellStyle name="Note 2 2 6 2 4 2" xfId="25751" xr:uid="{00000000-0005-0000-0000-0000E1350000}"/>
    <cellStyle name="Note 2 2 6 2 5" xfId="21275" xr:uid="{00000000-0005-0000-0000-0000E2350000}"/>
    <cellStyle name="Note 2 2 6 3" xfId="4740" xr:uid="{00000000-0005-0000-0000-0000E3350000}"/>
    <cellStyle name="Note 2 2 6 3 2" xfId="8779" xr:uid="{00000000-0005-0000-0000-0000E4350000}"/>
    <cellStyle name="Note 2 2 6 3 2 2" xfId="17851" xr:uid="{00000000-0005-0000-0000-0000E5350000}"/>
    <cellStyle name="Note 2 2 6 3 2 2 2" xfId="32683" xr:uid="{00000000-0005-0000-0000-0000E6350000}"/>
    <cellStyle name="Note 2 2 6 3 2 3" xfId="24309" xr:uid="{00000000-0005-0000-0000-0000E7350000}"/>
    <cellStyle name="Note 2 2 6 3 3" xfId="15064" xr:uid="{00000000-0005-0000-0000-0000E8350000}"/>
    <cellStyle name="Note 2 2 6 3 3 2" xfId="29896" xr:uid="{00000000-0005-0000-0000-0000E9350000}"/>
    <cellStyle name="Note 2 2 6 3 4" xfId="11454" xr:uid="{00000000-0005-0000-0000-0000EA350000}"/>
    <cellStyle name="Note 2 2 6 3 4 2" xfId="26286" xr:uid="{00000000-0005-0000-0000-0000EB350000}"/>
    <cellStyle name="Note 2 2 6 3 5" xfId="21847" xr:uid="{00000000-0005-0000-0000-0000EC350000}"/>
    <cellStyle name="Note 2 2 6 4" xfId="2730" xr:uid="{00000000-0005-0000-0000-0000ED350000}"/>
    <cellStyle name="Note 2 2 6 4 2" xfId="6821" xr:uid="{00000000-0005-0000-0000-0000EE350000}"/>
    <cellStyle name="Note 2 2 6 4 2 2" xfId="16745" xr:uid="{00000000-0005-0000-0000-0000EF350000}"/>
    <cellStyle name="Note 2 2 6 4 2 2 2" xfId="31577" xr:uid="{00000000-0005-0000-0000-0000F0350000}"/>
    <cellStyle name="Note 2 2 6 4 2 3" xfId="23060" xr:uid="{00000000-0005-0000-0000-0000F1350000}"/>
    <cellStyle name="Note 2 2 6 4 3" xfId="13068" xr:uid="{00000000-0005-0000-0000-0000F2350000}"/>
    <cellStyle name="Note 2 2 6 4 3 2" xfId="27900" xr:uid="{00000000-0005-0000-0000-0000F3350000}"/>
    <cellStyle name="Note 2 2 6 4 4" xfId="10398" xr:uid="{00000000-0005-0000-0000-0000F4350000}"/>
    <cellStyle name="Note 2 2 6 4 4 2" xfId="25230" xr:uid="{00000000-0005-0000-0000-0000F5350000}"/>
    <cellStyle name="Note 2 2 6 4 5" xfId="20720" xr:uid="{00000000-0005-0000-0000-0000F6350000}"/>
    <cellStyle name="Note 2 2 6 5" xfId="5894" xr:uid="{00000000-0005-0000-0000-0000F7350000}"/>
    <cellStyle name="Note 2 2 6 5 2" xfId="16086" xr:uid="{00000000-0005-0000-0000-0000F8350000}"/>
    <cellStyle name="Note 2 2 6 5 2 2" xfId="30918" xr:uid="{00000000-0005-0000-0000-0000F9350000}"/>
    <cellStyle name="Note 2 2 6 5 3" xfId="22491" xr:uid="{00000000-0005-0000-0000-0000FA350000}"/>
    <cellStyle name="Note 2 2 6 6" xfId="12156" xr:uid="{00000000-0005-0000-0000-0000FB350000}"/>
    <cellStyle name="Note 2 2 6 6 2" xfId="26988" xr:uid="{00000000-0005-0000-0000-0000FC350000}"/>
    <cellStyle name="Note 2 2 6 7" xfId="9752" xr:uid="{00000000-0005-0000-0000-0000FD350000}"/>
    <cellStyle name="Note 2 2 6 7 2" xfId="24709" xr:uid="{00000000-0005-0000-0000-0000FE350000}"/>
    <cellStyle name="Note 2 2 6 8" xfId="20299" xr:uid="{00000000-0005-0000-0000-0000FF350000}"/>
    <cellStyle name="Note 2 2 7" xfId="2204" xr:uid="{00000000-0005-0000-0000-000000360000}"/>
    <cellStyle name="Note 2 2 7 2" xfId="4102" xr:uid="{00000000-0005-0000-0000-000001360000}"/>
    <cellStyle name="Note 2 2 7 2 2" xfId="8148" xr:uid="{00000000-0005-0000-0000-000002360000}"/>
    <cellStyle name="Note 2 2 7 2 2 2" xfId="17519" xr:uid="{00000000-0005-0000-0000-000003360000}"/>
    <cellStyle name="Note 2 2 7 2 2 2 2" xfId="32351" xr:uid="{00000000-0005-0000-0000-000004360000}"/>
    <cellStyle name="Note 2 2 7 2 2 3" xfId="23892" xr:uid="{00000000-0005-0000-0000-000005360000}"/>
    <cellStyle name="Note 2 2 7 2 3" xfId="14434" xr:uid="{00000000-0005-0000-0000-000006360000}"/>
    <cellStyle name="Note 2 2 7 2 3 2" xfId="29266" xr:uid="{00000000-0005-0000-0000-000007360000}"/>
    <cellStyle name="Note 2 2 7 2 4" xfId="11136" xr:uid="{00000000-0005-0000-0000-000008360000}"/>
    <cellStyle name="Note 2 2 7 2 4 2" xfId="25968" xr:uid="{00000000-0005-0000-0000-000009360000}"/>
    <cellStyle name="Note 2 2 7 2 5" xfId="21522" xr:uid="{00000000-0005-0000-0000-00000A360000}"/>
    <cellStyle name="Note 2 2 7 3" xfId="5172" xr:uid="{00000000-0005-0000-0000-00000B360000}"/>
    <cellStyle name="Note 2 2 7 3 2" xfId="9211" xr:uid="{00000000-0005-0000-0000-00000C360000}"/>
    <cellStyle name="Note 2 2 7 3 2 2" xfId="18134" xr:uid="{00000000-0005-0000-0000-00000D360000}"/>
    <cellStyle name="Note 2 2 7 3 2 2 2" xfId="32966" xr:uid="{00000000-0005-0000-0000-00000E360000}"/>
    <cellStyle name="Note 2 2 7 3 2 3" xfId="24549" xr:uid="{00000000-0005-0000-0000-00000F360000}"/>
    <cellStyle name="Note 2 2 7 3 3" xfId="15490" xr:uid="{00000000-0005-0000-0000-000010360000}"/>
    <cellStyle name="Note 2 2 7 3 3 2" xfId="30322" xr:uid="{00000000-0005-0000-0000-000011360000}"/>
    <cellStyle name="Note 2 2 7 3 4" xfId="11731" xr:uid="{00000000-0005-0000-0000-000012360000}"/>
    <cellStyle name="Note 2 2 7 3 4 2" xfId="26563" xr:uid="{00000000-0005-0000-0000-000013360000}"/>
    <cellStyle name="Note 2 2 7 3 5" xfId="22056" xr:uid="{00000000-0005-0000-0000-000014360000}"/>
    <cellStyle name="Note 2 2 7 4" xfId="4202" xr:uid="{00000000-0005-0000-0000-000015360000}"/>
    <cellStyle name="Note 2 2 7 4 2" xfId="8243" xr:uid="{00000000-0005-0000-0000-000016360000}"/>
    <cellStyle name="Note 2 2 7 4 2 2" xfId="17590" xr:uid="{00000000-0005-0000-0000-000017360000}"/>
    <cellStyle name="Note 2 2 7 4 2 2 2" xfId="32422" xr:uid="{00000000-0005-0000-0000-000018360000}"/>
    <cellStyle name="Note 2 2 7 4 2 3" xfId="23938" xr:uid="{00000000-0005-0000-0000-000019360000}"/>
    <cellStyle name="Note 2 2 7 4 3" xfId="14534" xr:uid="{00000000-0005-0000-0000-00001A360000}"/>
    <cellStyle name="Note 2 2 7 4 3 2" xfId="29366" xr:uid="{00000000-0005-0000-0000-00001B360000}"/>
    <cellStyle name="Note 2 2 7 4 4" xfId="11210" xr:uid="{00000000-0005-0000-0000-00001C360000}"/>
    <cellStyle name="Note 2 2 7 4 4 2" xfId="26042" xr:uid="{00000000-0005-0000-0000-00001D360000}"/>
    <cellStyle name="Note 2 2 7 4 5" xfId="21563" xr:uid="{00000000-0005-0000-0000-00001E360000}"/>
    <cellStyle name="Note 2 2 7 5" xfId="6318" xr:uid="{00000000-0005-0000-0000-00001F360000}"/>
    <cellStyle name="Note 2 2 7 5 2" xfId="16502" xr:uid="{00000000-0005-0000-0000-000020360000}"/>
    <cellStyle name="Note 2 2 7 5 2 2" xfId="31334" xr:uid="{00000000-0005-0000-0000-000021360000}"/>
    <cellStyle name="Note 2 2 7 5 3" xfId="22720" xr:uid="{00000000-0005-0000-0000-000022360000}"/>
    <cellStyle name="Note 2 2 7 6" xfId="12572" xr:uid="{00000000-0005-0000-0000-000023360000}"/>
    <cellStyle name="Note 2 2 7 6 2" xfId="27404" xr:uid="{00000000-0005-0000-0000-000024360000}"/>
    <cellStyle name="Note 2 2 7 7" xfId="10154" xr:uid="{00000000-0005-0000-0000-000025360000}"/>
    <cellStyle name="Note 2 2 7 7 2" xfId="24986" xr:uid="{00000000-0005-0000-0000-000026360000}"/>
    <cellStyle name="Note 2 2 7 8" xfId="20399" xr:uid="{00000000-0005-0000-0000-000027360000}"/>
    <cellStyle name="Note 2 2 8" xfId="3289" xr:uid="{00000000-0005-0000-0000-000028360000}"/>
    <cellStyle name="Note 2 2 8 2" xfId="7353" xr:uid="{00000000-0005-0000-0000-000029360000}"/>
    <cellStyle name="Note 2 2 8 2 2" xfId="17095" xr:uid="{00000000-0005-0000-0000-00002A360000}"/>
    <cellStyle name="Note 2 2 8 2 2 2" xfId="31927" xr:uid="{00000000-0005-0000-0000-00002B360000}"/>
    <cellStyle name="Note 2 2 8 2 3" xfId="23379" xr:uid="{00000000-0005-0000-0000-00002C360000}"/>
    <cellStyle name="Note 2 2 8 3" xfId="13626" xr:uid="{00000000-0005-0000-0000-00002D360000}"/>
    <cellStyle name="Note 2 2 8 3 2" xfId="28458" xr:uid="{00000000-0005-0000-0000-00002E360000}"/>
    <cellStyle name="Note 2 2 8 4" xfId="10721" xr:uid="{00000000-0005-0000-0000-00002F360000}"/>
    <cellStyle name="Note 2 2 8 4 2" xfId="25553" xr:uid="{00000000-0005-0000-0000-000030360000}"/>
    <cellStyle name="Note 2 2 8 5" xfId="21066" xr:uid="{00000000-0005-0000-0000-000031360000}"/>
    <cellStyle name="Note 2 2 9" xfId="4271" xr:uid="{00000000-0005-0000-0000-000032360000}"/>
    <cellStyle name="Note 2 2 9 2" xfId="8310" xr:uid="{00000000-0005-0000-0000-000033360000}"/>
    <cellStyle name="Note 2 2 9 2 2" xfId="17597" xr:uid="{00000000-0005-0000-0000-000034360000}"/>
    <cellStyle name="Note 2 2 9 2 2 2" xfId="32429" xr:uid="{00000000-0005-0000-0000-000035360000}"/>
    <cellStyle name="Note 2 2 9 2 3" xfId="24004" xr:uid="{00000000-0005-0000-0000-000036360000}"/>
    <cellStyle name="Note 2 2 9 3" xfId="14603" xr:uid="{00000000-0005-0000-0000-000037360000}"/>
    <cellStyle name="Note 2 2 9 3 2" xfId="29435" xr:uid="{00000000-0005-0000-0000-000038360000}"/>
    <cellStyle name="Note 2 2 9 4" xfId="11216" xr:uid="{00000000-0005-0000-0000-000039360000}"/>
    <cellStyle name="Note 2 2 9 4 2" xfId="26048" xr:uid="{00000000-0005-0000-0000-00003A360000}"/>
    <cellStyle name="Note 2 2 9 5" xfId="21604" xr:uid="{00000000-0005-0000-0000-00003B360000}"/>
    <cellStyle name="Note 2 20" xfId="9368" xr:uid="{00000000-0005-0000-0000-00003C360000}"/>
    <cellStyle name="Note 2 20 2" xfId="24674" xr:uid="{00000000-0005-0000-0000-00003D360000}"/>
    <cellStyle name="Note 2 21" xfId="5357" xr:uid="{00000000-0005-0000-0000-00003E360000}"/>
    <cellStyle name="Note 2 21 2" xfId="18231" xr:uid="{00000000-0005-0000-0000-00003F360000}"/>
    <cellStyle name="Note 2 3" xfId="1218" xr:uid="{00000000-0005-0000-0000-000040360000}"/>
    <cellStyle name="Note 2 3 10" xfId="2304" xr:uid="{00000000-0005-0000-0000-000041360000}"/>
    <cellStyle name="Note 2 3 10 2" xfId="6416" xr:uid="{00000000-0005-0000-0000-000042360000}"/>
    <cellStyle name="Note 2 3 10 2 2" xfId="16509" xr:uid="{00000000-0005-0000-0000-000043360000}"/>
    <cellStyle name="Note 2 3 10 2 2 2" xfId="31341" xr:uid="{00000000-0005-0000-0000-000044360000}"/>
    <cellStyle name="Note 2 3 10 2 3" xfId="22818" xr:uid="{00000000-0005-0000-0000-000045360000}"/>
    <cellStyle name="Note 2 3 10 3" xfId="12644" xr:uid="{00000000-0005-0000-0000-000046360000}"/>
    <cellStyle name="Note 2 3 10 3 2" xfId="27476" xr:uid="{00000000-0005-0000-0000-000047360000}"/>
    <cellStyle name="Note 2 3 10 4" xfId="10160" xr:uid="{00000000-0005-0000-0000-000048360000}"/>
    <cellStyle name="Note 2 3 10 4 2" xfId="24992" xr:uid="{00000000-0005-0000-0000-000049360000}"/>
    <cellStyle name="Note 2 3 10 5" xfId="20467" xr:uid="{00000000-0005-0000-0000-00004A360000}"/>
    <cellStyle name="Note 2 3 11" xfId="5267" xr:uid="{00000000-0005-0000-0000-00004B360000}"/>
    <cellStyle name="Note 2 3 11 2" xfId="9275" xr:uid="{00000000-0005-0000-0000-00004C360000}"/>
    <cellStyle name="Note 2 3 11 2 2" xfId="18142" xr:uid="{00000000-0005-0000-0000-00004D360000}"/>
    <cellStyle name="Note 2 3 11 2 2 2" xfId="32974" xr:uid="{00000000-0005-0000-0000-00004E360000}"/>
    <cellStyle name="Note 2 3 11 2 3" xfId="24613" xr:uid="{00000000-0005-0000-0000-00004F360000}"/>
    <cellStyle name="Note 2 3 11 3" xfId="15583" xr:uid="{00000000-0005-0000-0000-000050360000}"/>
    <cellStyle name="Note 2 3 11 3 2" xfId="30415" xr:uid="{00000000-0005-0000-0000-000051360000}"/>
    <cellStyle name="Note 2 3 11 4" xfId="22124" xr:uid="{00000000-0005-0000-0000-000052360000}"/>
    <cellStyle name="Note 2 3 12" xfId="5425" xr:uid="{00000000-0005-0000-0000-000053360000}"/>
    <cellStyle name="Note 2 3 12 2" xfId="15661" xr:uid="{00000000-0005-0000-0000-000054360000}"/>
    <cellStyle name="Note 2 3 12 2 2" xfId="30493" xr:uid="{00000000-0005-0000-0000-000055360000}"/>
    <cellStyle name="Note 2 3 12 3" xfId="22186" xr:uid="{00000000-0005-0000-0000-000056360000}"/>
    <cellStyle name="Note 2 3 13" xfId="9366" xr:uid="{00000000-0005-0000-0000-000057360000}"/>
    <cellStyle name="Note 2 3 13 2" xfId="24672" xr:uid="{00000000-0005-0000-0000-000058360000}"/>
    <cellStyle name="Note 2 3 14" xfId="5355" xr:uid="{00000000-0005-0000-0000-000059360000}"/>
    <cellStyle name="Note 2 3 14 2" xfId="18229" xr:uid="{00000000-0005-0000-0000-00005A360000}"/>
    <cellStyle name="Note 2 3 2" xfId="1337" xr:uid="{00000000-0005-0000-0000-00005B360000}"/>
    <cellStyle name="Note 2 3 2 2" xfId="1841" xr:uid="{00000000-0005-0000-0000-00005C360000}"/>
    <cellStyle name="Note 2 3 2 2 2" xfId="3650" xr:uid="{00000000-0005-0000-0000-00005D360000}"/>
    <cellStyle name="Note 2 3 2 2 2 2" xfId="7709" xr:uid="{00000000-0005-0000-0000-00005E360000}"/>
    <cellStyle name="Note 2 3 2 2 2 2 2" xfId="17300" xr:uid="{00000000-0005-0000-0000-00005F360000}"/>
    <cellStyle name="Note 2 3 2 2 2 2 2 2" xfId="32132" xr:uid="{00000000-0005-0000-0000-000060360000}"/>
    <cellStyle name="Note 2 3 2 2 2 2 3" xfId="23608" xr:uid="{00000000-0005-0000-0000-000061360000}"/>
    <cellStyle name="Note 2 3 2 2 2 3" xfId="13985" xr:uid="{00000000-0005-0000-0000-000062360000}"/>
    <cellStyle name="Note 2 3 2 2 2 3 2" xfId="28817" xr:uid="{00000000-0005-0000-0000-000063360000}"/>
    <cellStyle name="Note 2 3 2 2 2 4" xfId="10916" xr:uid="{00000000-0005-0000-0000-000064360000}"/>
    <cellStyle name="Note 2 3 2 2 2 4 2" xfId="25748" xr:uid="{00000000-0005-0000-0000-000065360000}"/>
    <cellStyle name="Note 2 3 2 2 2 5" xfId="21273" xr:uid="{00000000-0005-0000-0000-000066360000}"/>
    <cellStyle name="Note 2 3 2 2 3" xfId="4819" xr:uid="{00000000-0005-0000-0000-000067360000}"/>
    <cellStyle name="Note 2 3 2 2 3 2" xfId="8858" xr:uid="{00000000-0005-0000-0000-000068360000}"/>
    <cellStyle name="Note 2 3 2 2 3 2 2" xfId="17899" xr:uid="{00000000-0005-0000-0000-000069360000}"/>
    <cellStyle name="Note 2 3 2 2 3 2 2 2" xfId="32731" xr:uid="{00000000-0005-0000-0000-00006A360000}"/>
    <cellStyle name="Note 2 3 2 2 3 2 3" xfId="24356" xr:uid="{00000000-0005-0000-0000-00006B360000}"/>
    <cellStyle name="Note 2 3 2 2 3 3" xfId="15143" xr:uid="{00000000-0005-0000-0000-00006C360000}"/>
    <cellStyle name="Note 2 3 2 2 3 3 2" xfId="29975" xr:uid="{00000000-0005-0000-0000-00006D360000}"/>
    <cellStyle name="Note 2 3 2 2 3 4" xfId="11502" xr:uid="{00000000-0005-0000-0000-00006E360000}"/>
    <cellStyle name="Note 2 3 2 2 3 4 2" xfId="26334" xr:uid="{00000000-0005-0000-0000-00006F360000}"/>
    <cellStyle name="Note 2 3 2 2 3 5" xfId="21894" xr:uid="{00000000-0005-0000-0000-000070360000}"/>
    <cellStyle name="Note 2 3 2 2 4" xfId="2809" xr:uid="{00000000-0005-0000-0000-000071360000}"/>
    <cellStyle name="Note 2 3 2 2 4 2" xfId="6900" xr:uid="{00000000-0005-0000-0000-000072360000}"/>
    <cellStyle name="Note 2 3 2 2 4 2 2" xfId="16793" xr:uid="{00000000-0005-0000-0000-000073360000}"/>
    <cellStyle name="Note 2 3 2 2 4 2 2 2" xfId="31625" xr:uid="{00000000-0005-0000-0000-000074360000}"/>
    <cellStyle name="Note 2 3 2 2 4 2 3" xfId="23107" xr:uid="{00000000-0005-0000-0000-000075360000}"/>
    <cellStyle name="Note 2 3 2 2 4 3" xfId="13147" xr:uid="{00000000-0005-0000-0000-000076360000}"/>
    <cellStyle name="Note 2 3 2 2 4 3 2" xfId="27979" xr:uid="{00000000-0005-0000-0000-000077360000}"/>
    <cellStyle name="Note 2 3 2 2 4 4" xfId="10446" xr:uid="{00000000-0005-0000-0000-000078360000}"/>
    <cellStyle name="Note 2 3 2 2 4 4 2" xfId="25278" xr:uid="{00000000-0005-0000-0000-000079360000}"/>
    <cellStyle name="Note 2 3 2 2 4 5" xfId="20767" xr:uid="{00000000-0005-0000-0000-00007A360000}"/>
    <cellStyle name="Note 2 3 2 2 5" xfId="5973" xr:uid="{00000000-0005-0000-0000-00007B360000}"/>
    <cellStyle name="Note 2 3 2 2 5 2" xfId="16165" xr:uid="{00000000-0005-0000-0000-00007C360000}"/>
    <cellStyle name="Note 2 3 2 2 5 2 2" xfId="30997" xr:uid="{00000000-0005-0000-0000-00007D360000}"/>
    <cellStyle name="Note 2 3 2 2 5 3" xfId="22538" xr:uid="{00000000-0005-0000-0000-00007E360000}"/>
    <cellStyle name="Note 2 3 2 2 6" xfId="12235" xr:uid="{00000000-0005-0000-0000-00007F360000}"/>
    <cellStyle name="Note 2 3 2 2 6 2" xfId="27067" xr:uid="{00000000-0005-0000-0000-000080360000}"/>
    <cellStyle name="Note 2 3 2 2 7" xfId="9831" xr:uid="{00000000-0005-0000-0000-000081360000}"/>
    <cellStyle name="Note 2 3 2 2 7 2" xfId="24757" xr:uid="{00000000-0005-0000-0000-000082360000}"/>
    <cellStyle name="Note 2 3 2 2 8" xfId="20315" xr:uid="{00000000-0005-0000-0000-000083360000}"/>
    <cellStyle name="Note 2 3 2 3" xfId="3644" xr:uid="{00000000-0005-0000-0000-000084360000}"/>
    <cellStyle name="Note 2 3 2 3 2" xfId="7703" xr:uid="{00000000-0005-0000-0000-000085360000}"/>
    <cellStyle name="Note 2 3 2 3 2 2" xfId="17298" xr:uid="{00000000-0005-0000-0000-000086360000}"/>
    <cellStyle name="Note 2 3 2 3 2 2 2" xfId="32130" xr:uid="{00000000-0005-0000-0000-000087360000}"/>
    <cellStyle name="Note 2 3 2 3 2 3" xfId="23603" xr:uid="{00000000-0005-0000-0000-000088360000}"/>
    <cellStyle name="Note 2 3 2 3 3" xfId="13979" xr:uid="{00000000-0005-0000-0000-000089360000}"/>
    <cellStyle name="Note 2 3 2 3 3 2" xfId="28811" xr:uid="{00000000-0005-0000-0000-00008A360000}"/>
    <cellStyle name="Note 2 3 2 3 4" xfId="10914" xr:uid="{00000000-0005-0000-0000-00008B360000}"/>
    <cellStyle name="Note 2 3 2 3 4 2" xfId="25746" xr:uid="{00000000-0005-0000-0000-00008C360000}"/>
    <cellStyle name="Note 2 3 2 3 5" xfId="21268" xr:uid="{00000000-0005-0000-0000-00008D360000}"/>
    <cellStyle name="Note 2 3 2 4" xfId="4399" xr:uid="{00000000-0005-0000-0000-00008E360000}"/>
    <cellStyle name="Note 2 3 2 4 2" xfId="8438" xr:uid="{00000000-0005-0000-0000-00008F360000}"/>
    <cellStyle name="Note 2 3 2 4 2 2" xfId="17659" xr:uid="{00000000-0005-0000-0000-000090360000}"/>
    <cellStyle name="Note 2 3 2 4 2 2 2" xfId="32491" xr:uid="{00000000-0005-0000-0000-000091360000}"/>
    <cellStyle name="Note 2 3 2 4 2 3" xfId="24096" xr:uid="{00000000-0005-0000-0000-000092360000}"/>
    <cellStyle name="Note 2 3 2 4 3" xfId="14728" xr:uid="{00000000-0005-0000-0000-000093360000}"/>
    <cellStyle name="Note 2 3 2 4 3 2" xfId="29560" xr:uid="{00000000-0005-0000-0000-000094360000}"/>
    <cellStyle name="Note 2 3 2 4 4" xfId="11267" xr:uid="{00000000-0005-0000-0000-000095360000}"/>
    <cellStyle name="Note 2 3 2 4 4 2" xfId="26099" xr:uid="{00000000-0005-0000-0000-000096360000}"/>
    <cellStyle name="Note 2 3 2 4 5" xfId="21664" xr:uid="{00000000-0005-0000-0000-000097360000}"/>
    <cellStyle name="Note 2 3 2 5" xfId="2389" xr:uid="{00000000-0005-0000-0000-000098360000}"/>
    <cellStyle name="Note 2 3 2 5 2" xfId="6501" xr:uid="{00000000-0005-0000-0000-000099360000}"/>
    <cellStyle name="Note 2 3 2 5 2 2" xfId="16557" xr:uid="{00000000-0005-0000-0000-00009A360000}"/>
    <cellStyle name="Note 2 3 2 5 2 2 2" xfId="31389" xr:uid="{00000000-0005-0000-0000-00009B360000}"/>
    <cellStyle name="Note 2 3 2 5 2 3" xfId="22871" xr:uid="{00000000-0005-0000-0000-00009C360000}"/>
    <cellStyle name="Note 2 3 2 5 3" xfId="12728" xr:uid="{00000000-0005-0000-0000-00009D360000}"/>
    <cellStyle name="Note 2 3 2 5 3 2" xfId="27560" xr:uid="{00000000-0005-0000-0000-00009E360000}"/>
    <cellStyle name="Note 2 3 2 5 4" xfId="10207" xr:uid="{00000000-0005-0000-0000-00009F360000}"/>
    <cellStyle name="Note 2 3 2 5 4 2" xfId="25039" xr:uid="{00000000-0005-0000-0000-0000A0360000}"/>
    <cellStyle name="Note 2 3 2 5 5" xfId="20513" xr:uid="{00000000-0005-0000-0000-0000A1360000}"/>
    <cellStyle name="Note 2 3 2 6" xfId="5514" xr:uid="{00000000-0005-0000-0000-0000A2360000}"/>
    <cellStyle name="Note 2 3 2 6 2" xfId="15749" xr:uid="{00000000-0005-0000-0000-0000A3360000}"/>
    <cellStyle name="Note 2 3 2 6 2 2" xfId="30581" xr:uid="{00000000-0005-0000-0000-0000A4360000}"/>
    <cellStyle name="Note 2 3 2 6 3" xfId="22242" xr:uid="{00000000-0005-0000-0000-0000A5360000}"/>
    <cellStyle name="Note 2 3 2 7" xfId="11764" xr:uid="{00000000-0005-0000-0000-0000A6360000}"/>
    <cellStyle name="Note 2 3 2 7 2" xfId="26596" xr:uid="{00000000-0005-0000-0000-0000A7360000}"/>
    <cellStyle name="Note 2 3 2 8" xfId="9435" xr:uid="{00000000-0005-0000-0000-0000A8360000}"/>
    <cellStyle name="Note 2 3 2 8 2" xfId="19739" xr:uid="{00000000-0005-0000-0000-0000A9360000}"/>
    <cellStyle name="Note 2 3 3" xfId="1505" xr:uid="{00000000-0005-0000-0000-0000AA360000}"/>
    <cellStyle name="Note 2 3 3 2" xfId="2002" xr:uid="{00000000-0005-0000-0000-0000AB360000}"/>
    <cellStyle name="Note 2 3 3 2 2" xfId="3837" xr:uid="{00000000-0005-0000-0000-0000AC360000}"/>
    <cellStyle name="Note 2 3 3 2 2 2" xfId="7890" xr:uid="{00000000-0005-0000-0000-0000AD360000}"/>
    <cellStyle name="Note 2 3 3 2 2 2 2" xfId="17388" xr:uid="{00000000-0005-0000-0000-0000AE360000}"/>
    <cellStyle name="Note 2 3 3 2 2 2 2 2" xfId="32220" xr:uid="{00000000-0005-0000-0000-0000AF360000}"/>
    <cellStyle name="Note 2 3 3 2 2 2 3" xfId="23729" xr:uid="{00000000-0005-0000-0000-0000B0360000}"/>
    <cellStyle name="Note 2 3 3 2 2 3" xfId="14172" xr:uid="{00000000-0005-0000-0000-0000B1360000}"/>
    <cellStyle name="Note 2 3 3 2 2 3 2" xfId="29004" xr:uid="{00000000-0005-0000-0000-0000B2360000}"/>
    <cellStyle name="Note 2 3 3 2 2 4" xfId="11007" xr:uid="{00000000-0005-0000-0000-0000B3360000}"/>
    <cellStyle name="Note 2 3 3 2 2 4 2" xfId="25839" xr:uid="{00000000-0005-0000-0000-0000B4360000}"/>
    <cellStyle name="Note 2 3 3 2 2 5" xfId="21377" xr:uid="{00000000-0005-0000-0000-0000B5360000}"/>
    <cellStyle name="Note 2 3 3 2 3" xfId="4970" xr:uid="{00000000-0005-0000-0000-0000B6360000}"/>
    <cellStyle name="Note 2 3 3 2 3 2" xfId="9009" xr:uid="{00000000-0005-0000-0000-0000B7360000}"/>
    <cellStyle name="Note 2 3 3 2 3 2 2" xfId="17949" xr:uid="{00000000-0005-0000-0000-0000B8360000}"/>
    <cellStyle name="Note 2 3 3 2 3 2 2 2" xfId="32781" xr:uid="{00000000-0005-0000-0000-0000B9360000}"/>
    <cellStyle name="Note 2 3 3 2 3 2 3" xfId="24475" xr:uid="{00000000-0005-0000-0000-0000BA360000}"/>
    <cellStyle name="Note 2 3 3 2 3 3" xfId="15292" xr:uid="{00000000-0005-0000-0000-0000BB360000}"/>
    <cellStyle name="Note 2 3 3 2 3 3 2" xfId="30124" xr:uid="{00000000-0005-0000-0000-0000BC360000}"/>
    <cellStyle name="Note 2 3 3 2 3 4" xfId="11550" xr:uid="{00000000-0005-0000-0000-0000BD360000}"/>
    <cellStyle name="Note 2 3 3 2 3 4 2" xfId="26382" xr:uid="{00000000-0005-0000-0000-0000BE360000}"/>
    <cellStyle name="Note 2 3 3 2 3 5" xfId="22001" xr:uid="{00000000-0005-0000-0000-0000BF360000}"/>
    <cellStyle name="Note 2 3 3 2 4" xfId="2960" xr:uid="{00000000-0005-0000-0000-0000C0360000}"/>
    <cellStyle name="Note 2 3 3 2 4 2" xfId="7040" xr:uid="{00000000-0005-0000-0000-0000C1360000}"/>
    <cellStyle name="Note 2 3 3 2 4 2 2" xfId="16841" xr:uid="{00000000-0005-0000-0000-0000C2360000}"/>
    <cellStyle name="Note 2 3 3 2 4 2 2 2" xfId="31673" xr:uid="{00000000-0005-0000-0000-0000C3360000}"/>
    <cellStyle name="Note 2 3 3 2 4 2 3" xfId="23214" xr:uid="{00000000-0005-0000-0000-0000C4360000}"/>
    <cellStyle name="Note 2 3 3 2 4 3" xfId="13298" xr:uid="{00000000-0005-0000-0000-0000C5360000}"/>
    <cellStyle name="Note 2 3 3 2 4 3 2" xfId="28130" xr:uid="{00000000-0005-0000-0000-0000C6360000}"/>
    <cellStyle name="Note 2 3 3 2 4 4" xfId="10496" xr:uid="{00000000-0005-0000-0000-0000C7360000}"/>
    <cellStyle name="Note 2 3 3 2 4 4 2" xfId="25328" xr:uid="{00000000-0005-0000-0000-0000C8360000}"/>
    <cellStyle name="Note 2 3 3 2 4 5" xfId="20886" xr:uid="{00000000-0005-0000-0000-0000C9360000}"/>
    <cellStyle name="Note 2 3 3 2 5" xfId="6132" xr:uid="{00000000-0005-0000-0000-0000CA360000}"/>
    <cellStyle name="Note 2 3 3 2 5 2" xfId="16319" xr:uid="{00000000-0005-0000-0000-0000CB360000}"/>
    <cellStyle name="Note 2 3 3 2 5 2 2" xfId="31151" xr:uid="{00000000-0005-0000-0000-0000CC360000}"/>
    <cellStyle name="Note 2 3 3 2 5 3" xfId="22665" xr:uid="{00000000-0005-0000-0000-0000CD360000}"/>
    <cellStyle name="Note 2 3 3 2 6" xfId="12389" xr:uid="{00000000-0005-0000-0000-0000CE360000}"/>
    <cellStyle name="Note 2 3 3 2 6 2" xfId="27221" xr:uid="{00000000-0005-0000-0000-0000CF360000}"/>
    <cellStyle name="Note 2 3 3 2 7" xfId="9971" xr:uid="{00000000-0005-0000-0000-0000D0360000}"/>
    <cellStyle name="Note 2 3 3 2 7 2" xfId="24805" xr:uid="{00000000-0005-0000-0000-0000D1360000}"/>
    <cellStyle name="Note 2 3 3 2 8" xfId="20346" xr:uid="{00000000-0005-0000-0000-0000D2360000}"/>
    <cellStyle name="Note 2 3 3 3" xfId="3225" xr:uid="{00000000-0005-0000-0000-0000D3360000}"/>
    <cellStyle name="Note 2 3 3 3 2" xfId="7289" xr:uid="{00000000-0005-0000-0000-0000D4360000}"/>
    <cellStyle name="Note 2 3 3 3 2 2" xfId="17049" xr:uid="{00000000-0005-0000-0000-0000D5360000}"/>
    <cellStyle name="Note 2 3 3 3 2 2 2" xfId="31881" xr:uid="{00000000-0005-0000-0000-0000D6360000}"/>
    <cellStyle name="Note 2 3 3 3 2 3" xfId="23332" xr:uid="{00000000-0005-0000-0000-0000D7360000}"/>
    <cellStyle name="Note 2 3 3 3 3" xfId="13563" xr:uid="{00000000-0005-0000-0000-0000D8360000}"/>
    <cellStyle name="Note 2 3 3 3 3 2" xfId="28395" xr:uid="{00000000-0005-0000-0000-0000D9360000}"/>
    <cellStyle name="Note 2 3 3 3 4" xfId="10689" xr:uid="{00000000-0005-0000-0000-0000DA360000}"/>
    <cellStyle name="Note 2 3 3 3 4 2" xfId="25521" xr:uid="{00000000-0005-0000-0000-0000DB360000}"/>
    <cellStyle name="Note 2 3 3 3 5" xfId="21021" xr:uid="{00000000-0005-0000-0000-0000DC360000}"/>
    <cellStyle name="Note 2 3 3 4" xfId="4550" xr:uid="{00000000-0005-0000-0000-0000DD360000}"/>
    <cellStyle name="Note 2 3 3 4 2" xfId="8589" xr:uid="{00000000-0005-0000-0000-0000DE360000}"/>
    <cellStyle name="Note 2 3 3 4 2 2" xfId="17709" xr:uid="{00000000-0005-0000-0000-0000DF360000}"/>
    <cellStyle name="Note 2 3 3 4 2 2 2" xfId="32541" xr:uid="{00000000-0005-0000-0000-0000E0360000}"/>
    <cellStyle name="Note 2 3 3 4 2 3" xfId="24215" xr:uid="{00000000-0005-0000-0000-0000E1360000}"/>
    <cellStyle name="Note 2 3 3 4 3" xfId="14877" xr:uid="{00000000-0005-0000-0000-0000E2360000}"/>
    <cellStyle name="Note 2 3 3 4 3 2" xfId="29709" xr:uid="{00000000-0005-0000-0000-0000E3360000}"/>
    <cellStyle name="Note 2 3 3 4 4" xfId="11315" xr:uid="{00000000-0005-0000-0000-0000E4360000}"/>
    <cellStyle name="Note 2 3 3 4 4 2" xfId="26147" xr:uid="{00000000-0005-0000-0000-0000E5360000}"/>
    <cellStyle name="Note 2 3 3 4 5" xfId="21771" xr:uid="{00000000-0005-0000-0000-0000E6360000}"/>
    <cellStyle name="Note 2 3 3 5" xfId="2540" xr:uid="{00000000-0005-0000-0000-0000E7360000}"/>
    <cellStyle name="Note 2 3 3 5 2" xfId="6646" xr:uid="{00000000-0005-0000-0000-0000E8360000}"/>
    <cellStyle name="Note 2 3 3 5 2 2" xfId="16606" xr:uid="{00000000-0005-0000-0000-0000E9360000}"/>
    <cellStyle name="Note 2 3 3 5 2 2 2" xfId="31438" xr:uid="{00000000-0005-0000-0000-0000EA360000}"/>
    <cellStyle name="Note 2 3 3 5 2 3" xfId="22984" xr:uid="{00000000-0005-0000-0000-0000EB360000}"/>
    <cellStyle name="Note 2 3 3 5 3" xfId="12878" xr:uid="{00000000-0005-0000-0000-0000EC360000}"/>
    <cellStyle name="Note 2 3 3 5 3 2" xfId="27710" xr:uid="{00000000-0005-0000-0000-0000ED360000}"/>
    <cellStyle name="Note 2 3 3 5 4" xfId="10256" xr:uid="{00000000-0005-0000-0000-0000EE360000}"/>
    <cellStyle name="Note 2 3 3 5 4 2" xfId="25088" xr:uid="{00000000-0005-0000-0000-0000EF360000}"/>
    <cellStyle name="Note 2 3 3 5 5" xfId="20626" xr:uid="{00000000-0005-0000-0000-0000F0360000}"/>
    <cellStyle name="Note 2 3 3 6" xfId="5663" xr:uid="{00000000-0005-0000-0000-0000F1360000}"/>
    <cellStyle name="Note 2 3 3 6 2" xfId="15898" xr:uid="{00000000-0005-0000-0000-0000F2360000}"/>
    <cellStyle name="Note 2 3 3 6 2 2" xfId="30730" xr:uid="{00000000-0005-0000-0000-0000F3360000}"/>
    <cellStyle name="Note 2 3 3 6 3" xfId="22359" xr:uid="{00000000-0005-0000-0000-0000F4360000}"/>
    <cellStyle name="Note 2 3 3 7" xfId="11918" xr:uid="{00000000-0005-0000-0000-0000F5360000}"/>
    <cellStyle name="Note 2 3 3 7 2" xfId="26750" xr:uid="{00000000-0005-0000-0000-0000F6360000}"/>
    <cellStyle name="Note 2 3 3 8" xfId="9576" xr:uid="{00000000-0005-0000-0000-0000F7360000}"/>
    <cellStyle name="Note 2 3 3 8 2" xfId="19878" xr:uid="{00000000-0005-0000-0000-0000F8360000}"/>
    <cellStyle name="Note 2 3 4" xfId="1562" xr:uid="{00000000-0005-0000-0000-0000F9360000}"/>
    <cellStyle name="Note 2 3 4 2" xfId="2059" xr:uid="{00000000-0005-0000-0000-0000FA360000}"/>
    <cellStyle name="Note 2 3 4 2 2" xfId="3400" xr:uid="{00000000-0005-0000-0000-0000FB360000}"/>
    <cellStyle name="Note 2 3 4 2 2 2" xfId="7463" xr:uid="{00000000-0005-0000-0000-0000FC360000}"/>
    <cellStyle name="Note 2 3 4 2 2 2 2" xfId="17162" xr:uid="{00000000-0005-0000-0000-0000FD360000}"/>
    <cellStyle name="Note 2 3 4 2 2 2 2 2" xfId="31994" xr:uid="{00000000-0005-0000-0000-0000FE360000}"/>
    <cellStyle name="Note 2 3 4 2 2 2 3" xfId="23451" xr:uid="{00000000-0005-0000-0000-0000FF360000}"/>
    <cellStyle name="Note 2 3 4 2 2 3" xfId="13737" xr:uid="{00000000-0005-0000-0000-000000370000}"/>
    <cellStyle name="Note 2 3 4 2 2 3 2" xfId="28569" xr:uid="{00000000-0005-0000-0000-000001370000}"/>
    <cellStyle name="Note 2 3 4 2 2 4" xfId="10781" xr:uid="{00000000-0005-0000-0000-000002370000}"/>
    <cellStyle name="Note 2 3 4 2 2 4 2" xfId="25613" xr:uid="{00000000-0005-0000-0000-000003370000}"/>
    <cellStyle name="Note 2 3 4 2 2 5" xfId="21129" xr:uid="{00000000-0005-0000-0000-000004370000}"/>
    <cellStyle name="Note 2 3 4 2 3" xfId="5027" xr:uid="{00000000-0005-0000-0000-000005370000}"/>
    <cellStyle name="Note 2 3 4 2 3 2" xfId="9066" xr:uid="{00000000-0005-0000-0000-000006370000}"/>
    <cellStyle name="Note 2 3 4 2 3 2 2" xfId="17999" xr:uid="{00000000-0005-0000-0000-000007370000}"/>
    <cellStyle name="Note 2 3 4 2 3 2 2 2" xfId="32831" xr:uid="{00000000-0005-0000-0000-000008370000}"/>
    <cellStyle name="Note 2 3 4 2 3 2 3" xfId="24500" xr:uid="{00000000-0005-0000-0000-000009370000}"/>
    <cellStyle name="Note 2 3 4 2 3 3" xfId="15348" xr:uid="{00000000-0005-0000-0000-00000A370000}"/>
    <cellStyle name="Note 2 3 4 2 3 3 2" xfId="30180" xr:uid="{00000000-0005-0000-0000-00000B370000}"/>
    <cellStyle name="Note 2 3 4 2 3 4" xfId="11599" xr:uid="{00000000-0005-0000-0000-00000C370000}"/>
    <cellStyle name="Note 2 3 4 2 3 4 2" xfId="26431" xr:uid="{00000000-0005-0000-0000-00000D370000}"/>
    <cellStyle name="Note 2 3 4 2 3 5" xfId="22020" xr:uid="{00000000-0005-0000-0000-00000E370000}"/>
    <cellStyle name="Note 2 3 4 2 4" xfId="3017" xr:uid="{00000000-0005-0000-0000-00000F370000}"/>
    <cellStyle name="Note 2 3 4 2 4 2" xfId="7092" xr:uid="{00000000-0005-0000-0000-000010370000}"/>
    <cellStyle name="Note 2 3 4 2 4 2 2" xfId="16890" xr:uid="{00000000-0005-0000-0000-000011370000}"/>
    <cellStyle name="Note 2 3 4 2 4 2 2 2" xfId="31722" xr:uid="{00000000-0005-0000-0000-000012370000}"/>
    <cellStyle name="Note 2 3 4 2 4 2 3" xfId="23233" xr:uid="{00000000-0005-0000-0000-000013370000}"/>
    <cellStyle name="Note 2 3 4 2 4 3" xfId="13355" xr:uid="{00000000-0005-0000-0000-000014370000}"/>
    <cellStyle name="Note 2 3 4 2 4 3 2" xfId="28187" xr:uid="{00000000-0005-0000-0000-000015370000}"/>
    <cellStyle name="Note 2 3 4 2 4 4" xfId="10546" xr:uid="{00000000-0005-0000-0000-000016370000}"/>
    <cellStyle name="Note 2 3 4 2 4 4 2" xfId="25378" xr:uid="{00000000-0005-0000-0000-000017370000}"/>
    <cellStyle name="Note 2 3 4 2 4 5" xfId="20911" xr:uid="{00000000-0005-0000-0000-000018370000}"/>
    <cellStyle name="Note 2 3 4 2 5" xfId="6184" xr:uid="{00000000-0005-0000-0000-000019370000}"/>
    <cellStyle name="Note 2 3 4 2 5 2" xfId="16370" xr:uid="{00000000-0005-0000-0000-00001A370000}"/>
    <cellStyle name="Note 2 3 4 2 5 2 2" xfId="31202" xr:uid="{00000000-0005-0000-0000-00001B370000}"/>
    <cellStyle name="Note 2 3 4 2 5 3" xfId="22684" xr:uid="{00000000-0005-0000-0000-00001C370000}"/>
    <cellStyle name="Note 2 3 4 2 6" xfId="12440" xr:uid="{00000000-0005-0000-0000-00001D370000}"/>
    <cellStyle name="Note 2 3 4 2 6 2" xfId="27272" xr:uid="{00000000-0005-0000-0000-00001E370000}"/>
    <cellStyle name="Note 2 3 4 2 7" xfId="10022" xr:uid="{00000000-0005-0000-0000-00001F370000}"/>
    <cellStyle name="Note 2 3 4 2 7 2" xfId="24854" xr:uid="{00000000-0005-0000-0000-000020370000}"/>
    <cellStyle name="Note 2 3 4 2 8" xfId="20363" xr:uid="{00000000-0005-0000-0000-000021370000}"/>
    <cellStyle name="Note 2 3 4 3" xfId="3370" xr:uid="{00000000-0005-0000-0000-000022370000}"/>
    <cellStyle name="Note 2 3 4 3 2" xfId="7433" xr:uid="{00000000-0005-0000-0000-000023370000}"/>
    <cellStyle name="Note 2 3 4 3 2 2" xfId="17144" xr:uid="{00000000-0005-0000-0000-000024370000}"/>
    <cellStyle name="Note 2 3 4 3 2 2 2" xfId="31976" xr:uid="{00000000-0005-0000-0000-000025370000}"/>
    <cellStyle name="Note 2 3 4 3 2 3" xfId="23431" xr:uid="{00000000-0005-0000-0000-000026370000}"/>
    <cellStyle name="Note 2 3 4 3 3" xfId="13707" xr:uid="{00000000-0005-0000-0000-000027370000}"/>
    <cellStyle name="Note 2 3 4 3 3 2" xfId="28539" xr:uid="{00000000-0005-0000-0000-000028370000}"/>
    <cellStyle name="Note 2 3 4 3 4" xfId="10763" xr:uid="{00000000-0005-0000-0000-000029370000}"/>
    <cellStyle name="Note 2 3 4 3 4 2" xfId="25595" xr:uid="{00000000-0005-0000-0000-00002A370000}"/>
    <cellStyle name="Note 2 3 4 3 5" xfId="21113" xr:uid="{00000000-0005-0000-0000-00002B370000}"/>
    <cellStyle name="Note 2 3 4 4" xfId="4607" xr:uid="{00000000-0005-0000-0000-00002C370000}"/>
    <cellStyle name="Note 2 3 4 4 2" xfId="8646" xr:uid="{00000000-0005-0000-0000-00002D370000}"/>
    <cellStyle name="Note 2 3 4 4 2 2" xfId="17759" xr:uid="{00000000-0005-0000-0000-00002E370000}"/>
    <cellStyle name="Note 2 3 4 4 2 2 2" xfId="32591" xr:uid="{00000000-0005-0000-0000-00002F370000}"/>
    <cellStyle name="Note 2 3 4 4 2 3" xfId="24240" xr:uid="{00000000-0005-0000-0000-000030370000}"/>
    <cellStyle name="Note 2 3 4 4 3" xfId="14933" xr:uid="{00000000-0005-0000-0000-000031370000}"/>
    <cellStyle name="Note 2 3 4 4 3 2" xfId="29765" xr:uid="{00000000-0005-0000-0000-000032370000}"/>
    <cellStyle name="Note 2 3 4 4 4" xfId="11364" xr:uid="{00000000-0005-0000-0000-000033370000}"/>
    <cellStyle name="Note 2 3 4 4 4 2" xfId="26196" xr:uid="{00000000-0005-0000-0000-000034370000}"/>
    <cellStyle name="Note 2 3 4 4 5" xfId="21790" xr:uid="{00000000-0005-0000-0000-000035370000}"/>
    <cellStyle name="Note 2 3 4 5" xfId="2597" xr:uid="{00000000-0005-0000-0000-000036370000}"/>
    <cellStyle name="Note 2 3 4 5 2" xfId="6698" xr:uid="{00000000-0005-0000-0000-000037370000}"/>
    <cellStyle name="Note 2 3 4 5 2 2" xfId="16655" xr:uid="{00000000-0005-0000-0000-000038370000}"/>
    <cellStyle name="Note 2 3 4 5 2 2 2" xfId="31487" xr:uid="{00000000-0005-0000-0000-000039370000}"/>
    <cellStyle name="Note 2 3 4 5 2 3" xfId="23003" xr:uid="{00000000-0005-0000-0000-00003A370000}"/>
    <cellStyle name="Note 2 3 4 5 3" xfId="12935" xr:uid="{00000000-0005-0000-0000-00003B370000}"/>
    <cellStyle name="Note 2 3 4 5 3 2" xfId="27767" xr:uid="{00000000-0005-0000-0000-00003C370000}"/>
    <cellStyle name="Note 2 3 4 5 4" xfId="10306" xr:uid="{00000000-0005-0000-0000-00003D370000}"/>
    <cellStyle name="Note 2 3 4 5 4 2" xfId="25138" xr:uid="{00000000-0005-0000-0000-00003E370000}"/>
    <cellStyle name="Note 2 3 4 5 5" xfId="20651" xr:uid="{00000000-0005-0000-0000-00003F370000}"/>
    <cellStyle name="Note 2 3 4 6" xfId="5714" xr:uid="{00000000-0005-0000-0000-000040370000}"/>
    <cellStyle name="Note 2 3 4 6 2" xfId="15949" xr:uid="{00000000-0005-0000-0000-000041370000}"/>
    <cellStyle name="Note 2 3 4 6 2 2" xfId="30781" xr:uid="{00000000-0005-0000-0000-000042370000}"/>
    <cellStyle name="Note 2 3 4 6 3" xfId="22378" xr:uid="{00000000-0005-0000-0000-000043370000}"/>
    <cellStyle name="Note 2 3 4 7" xfId="11969" xr:uid="{00000000-0005-0000-0000-000044370000}"/>
    <cellStyle name="Note 2 3 4 7 2" xfId="26801" xr:uid="{00000000-0005-0000-0000-000045370000}"/>
    <cellStyle name="Note 2 3 4 8" xfId="9628" xr:uid="{00000000-0005-0000-0000-000046370000}"/>
    <cellStyle name="Note 2 3 4 8 2" xfId="19929" xr:uid="{00000000-0005-0000-0000-000047370000}"/>
    <cellStyle name="Note 2 3 5" xfId="1612" xr:uid="{00000000-0005-0000-0000-000048370000}"/>
    <cellStyle name="Note 2 3 5 2" xfId="2109" xr:uid="{00000000-0005-0000-0000-000049370000}"/>
    <cellStyle name="Note 2 3 5 2 2" xfId="3844" xr:uid="{00000000-0005-0000-0000-00004A370000}"/>
    <cellStyle name="Note 2 3 5 2 2 2" xfId="7897" xr:uid="{00000000-0005-0000-0000-00004B370000}"/>
    <cellStyle name="Note 2 3 5 2 2 2 2" xfId="17391" xr:uid="{00000000-0005-0000-0000-00004C370000}"/>
    <cellStyle name="Note 2 3 5 2 2 2 2 2" xfId="32223" xr:uid="{00000000-0005-0000-0000-00004D370000}"/>
    <cellStyle name="Note 2 3 5 2 2 2 3" xfId="23734" xr:uid="{00000000-0005-0000-0000-00004E370000}"/>
    <cellStyle name="Note 2 3 5 2 2 3" xfId="14179" xr:uid="{00000000-0005-0000-0000-00004F370000}"/>
    <cellStyle name="Note 2 3 5 2 2 3 2" xfId="29011" xr:uid="{00000000-0005-0000-0000-000050370000}"/>
    <cellStyle name="Note 2 3 5 2 2 4" xfId="11010" xr:uid="{00000000-0005-0000-0000-000051370000}"/>
    <cellStyle name="Note 2 3 5 2 2 4 2" xfId="25842" xr:uid="{00000000-0005-0000-0000-000052370000}"/>
    <cellStyle name="Note 2 3 5 2 2 5" xfId="21381" xr:uid="{00000000-0005-0000-0000-000053370000}"/>
    <cellStyle name="Note 2 3 5 2 3" xfId="5077" xr:uid="{00000000-0005-0000-0000-000054370000}"/>
    <cellStyle name="Note 2 3 5 2 3 2" xfId="9116" xr:uid="{00000000-0005-0000-0000-000055370000}"/>
    <cellStyle name="Note 2 3 5 2 3 2 2" xfId="18044" xr:uid="{00000000-0005-0000-0000-000056370000}"/>
    <cellStyle name="Note 2 3 5 2 3 2 2 2" xfId="32876" xr:uid="{00000000-0005-0000-0000-000057370000}"/>
    <cellStyle name="Note 2 3 5 2 3 2 3" xfId="24518" xr:uid="{00000000-0005-0000-0000-000058370000}"/>
    <cellStyle name="Note 2 3 5 2 3 3" xfId="15397" xr:uid="{00000000-0005-0000-0000-000059370000}"/>
    <cellStyle name="Note 2 3 5 2 3 3 2" xfId="30229" xr:uid="{00000000-0005-0000-0000-00005A370000}"/>
    <cellStyle name="Note 2 3 5 2 3 4" xfId="11643" xr:uid="{00000000-0005-0000-0000-00005B370000}"/>
    <cellStyle name="Note 2 3 5 2 3 4 2" xfId="26475" xr:uid="{00000000-0005-0000-0000-00005C370000}"/>
    <cellStyle name="Note 2 3 5 2 3 5" xfId="22032" xr:uid="{00000000-0005-0000-0000-00005D370000}"/>
    <cellStyle name="Note 2 3 5 2 4" xfId="3067" xr:uid="{00000000-0005-0000-0000-00005E370000}"/>
    <cellStyle name="Note 2 3 5 2 4 2" xfId="7137" xr:uid="{00000000-0005-0000-0000-00005F370000}"/>
    <cellStyle name="Note 2 3 5 2 4 2 2" xfId="16934" xr:uid="{00000000-0005-0000-0000-000060370000}"/>
    <cellStyle name="Note 2 3 5 2 4 2 2 2" xfId="31766" xr:uid="{00000000-0005-0000-0000-000061370000}"/>
    <cellStyle name="Note 2 3 5 2 4 2 3" xfId="23245" xr:uid="{00000000-0005-0000-0000-000062370000}"/>
    <cellStyle name="Note 2 3 5 2 4 3" xfId="13405" xr:uid="{00000000-0005-0000-0000-000063370000}"/>
    <cellStyle name="Note 2 3 5 2 4 3 2" xfId="28237" xr:uid="{00000000-0005-0000-0000-000064370000}"/>
    <cellStyle name="Note 2 3 5 2 4 4" xfId="10591" xr:uid="{00000000-0005-0000-0000-000065370000}"/>
    <cellStyle name="Note 2 3 5 2 4 4 2" xfId="25423" xr:uid="{00000000-0005-0000-0000-000066370000}"/>
    <cellStyle name="Note 2 3 5 2 4 5" xfId="20929" xr:uid="{00000000-0005-0000-0000-000067370000}"/>
    <cellStyle name="Note 2 3 5 2 5" xfId="6229" xr:uid="{00000000-0005-0000-0000-000068370000}"/>
    <cellStyle name="Note 2 3 5 2 5 2" xfId="16414" xr:uid="{00000000-0005-0000-0000-000069370000}"/>
    <cellStyle name="Note 2 3 5 2 5 2 2" xfId="31246" xr:uid="{00000000-0005-0000-0000-00006A370000}"/>
    <cellStyle name="Note 2 3 5 2 5 3" xfId="22696" xr:uid="{00000000-0005-0000-0000-00006B370000}"/>
    <cellStyle name="Note 2 3 5 2 6" xfId="12484" xr:uid="{00000000-0005-0000-0000-00006C370000}"/>
    <cellStyle name="Note 2 3 5 2 6 2" xfId="27316" xr:uid="{00000000-0005-0000-0000-00006D370000}"/>
    <cellStyle name="Note 2 3 5 2 7" xfId="10066" xr:uid="{00000000-0005-0000-0000-00006E370000}"/>
    <cellStyle name="Note 2 3 5 2 7 2" xfId="24898" xr:uid="{00000000-0005-0000-0000-00006F370000}"/>
    <cellStyle name="Note 2 3 5 2 8" xfId="20375" xr:uid="{00000000-0005-0000-0000-000070370000}"/>
    <cellStyle name="Note 2 3 5 3" xfId="3448" xr:uid="{00000000-0005-0000-0000-000071370000}"/>
    <cellStyle name="Note 2 3 5 3 2" xfId="7511" xr:uid="{00000000-0005-0000-0000-000072370000}"/>
    <cellStyle name="Note 2 3 5 3 2 2" xfId="17195" xr:uid="{00000000-0005-0000-0000-000073370000}"/>
    <cellStyle name="Note 2 3 5 3 2 2 2" xfId="32027" xr:uid="{00000000-0005-0000-0000-000074370000}"/>
    <cellStyle name="Note 2 3 5 3 2 3" xfId="23482" xr:uid="{00000000-0005-0000-0000-000075370000}"/>
    <cellStyle name="Note 2 3 5 3 3" xfId="13785" xr:uid="{00000000-0005-0000-0000-000076370000}"/>
    <cellStyle name="Note 2 3 5 3 3 2" xfId="28617" xr:uid="{00000000-0005-0000-0000-000077370000}"/>
    <cellStyle name="Note 2 3 5 3 4" xfId="10814" xr:uid="{00000000-0005-0000-0000-000078370000}"/>
    <cellStyle name="Note 2 3 5 3 4 2" xfId="25646" xr:uid="{00000000-0005-0000-0000-000079370000}"/>
    <cellStyle name="Note 2 3 5 3 5" xfId="21158" xr:uid="{00000000-0005-0000-0000-00007A370000}"/>
    <cellStyle name="Note 2 3 5 4" xfId="4657" xr:uid="{00000000-0005-0000-0000-00007B370000}"/>
    <cellStyle name="Note 2 3 5 4 2" xfId="8696" xr:uid="{00000000-0005-0000-0000-00007C370000}"/>
    <cellStyle name="Note 2 3 5 4 2 2" xfId="17804" xr:uid="{00000000-0005-0000-0000-00007D370000}"/>
    <cellStyle name="Note 2 3 5 4 2 2 2" xfId="32636" xr:uid="{00000000-0005-0000-0000-00007E370000}"/>
    <cellStyle name="Note 2 3 5 4 2 3" xfId="24258" xr:uid="{00000000-0005-0000-0000-00007F370000}"/>
    <cellStyle name="Note 2 3 5 4 3" xfId="14982" xr:uid="{00000000-0005-0000-0000-000080370000}"/>
    <cellStyle name="Note 2 3 5 4 3 2" xfId="29814" xr:uid="{00000000-0005-0000-0000-000081370000}"/>
    <cellStyle name="Note 2 3 5 4 4" xfId="11408" xr:uid="{00000000-0005-0000-0000-000082370000}"/>
    <cellStyle name="Note 2 3 5 4 4 2" xfId="26240" xr:uid="{00000000-0005-0000-0000-000083370000}"/>
    <cellStyle name="Note 2 3 5 4 5" xfId="21802" xr:uid="{00000000-0005-0000-0000-000084370000}"/>
    <cellStyle name="Note 2 3 5 5" xfId="2647" xr:uid="{00000000-0005-0000-0000-000085370000}"/>
    <cellStyle name="Note 2 3 5 5 2" xfId="6743" xr:uid="{00000000-0005-0000-0000-000086370000}"/>
    <cellStyle name="Note 2 3 5 5 2 2" xfId="16699" xr:uid="{00000000-0005-0000-0000-000087370000}"/>
    <cellStyle name="Note 2 3 5 5 2 2 2" xfId="31531" xr:uid="{00000000-0005-0000-0000-000088370000}"/>
    <cellStyle name="Note 2 3 5 5 2 3" xfId="23015" xr:uid="{00000000-0005-0000-0000-000089370000}"/>
    <cellStyle name="Note 2 3 5 5 3" xfId="12985" xr:uid="{00000000-0005-0000-0000-00008A370000}"/>
    <cellStyle name="Note 2 3 5 5 3 2" xfId="27817" xr:uid="{00000000-0005-0000-0000-00008B370000}"/>
    <cellStyle name="Note 2 3 5 5 4" xfId="10351" xr:uid="{00000000-0005-0000-0000-00008C370000}"/>
    <cellStyle name="Note 2 3 5 5 4 2" xfId="25183" xr:uid="{00000000-0005-0000-0000-00008D370000}"/>
    <cellStyle name="Note 2 3 5 5 5" xfId="20669" xr:uid="{00000000-0005-0000-0000-00008E370000}"/>
    <cellStyle name="Note 2 3 5 6" xfId="5759" xr:uid="{00000000-0005-0000-0000-00008F370000}"/>
    <cellStyle name="Note 2 3 5 6 2" xfId="15993" xr:uid="{00000000-0005-0000-0000-000090370000}"/>
    <cellStyle name="Note 2 3 5 6 2 2" xfId="30825" xr:uid="{00000000-0005-0000-0000-000091370000}"/>
    <cellStyle name="Note 2 3 5 6 3" xfId="22390" xr:uid="{00000000-0005-0000-0000-000092370000}"/>
    <cellStyle name="Note 2 3 5 7" xfId="12013" xr:uid="{00000000-0005-0000-0000-000093370000}"/>
    <cellStyle name="Note 2 3 5 7 2" xfId="26845" xr:uid="{00000000-0005-0000-0000-000094370000}"/>
    <cellStyle name="Note 2 3 5 8" xfId="9673" xr:uid="{00000000-0005-0000-0000-000095370000}"/>
    <cellStyle name="Note 2 3 5 8 2" xfId="19973" xr:uid="{00000000-0005-0000-0000-000096370000}"/>
    <cellStyle name="Note 2 3 6" xfId="1763" xr:uid="{00000000-0005-0000-0000-000097370000}"/>
    <cellStyle name="Note 2 3 6 2" xfId="3888" xr:uid="{00000000-0005-0000-0000-000098370000}"/>
    <cellStyle name="Note 2 3 6 2 2" xfId="7939" xr:uid="{00000000-0005-0000-0000-000099370000}"/>
    <cellStyle name="Note 2 3 6 2 2 2" xfId="17413" xr:uid="{00000000-0005-0000-0000-00009A370000}"/>
    <cellStyle name="Note 2 3 6 2 2 2 2" xfId="32245" xr:uid="{00000000-0005-0000-0000-00009B370000}"/>
    <cellStyle name="Note 2 3 6 2 2 3" xfId="23761" xr:uid="{00000000-0005-0000-0000-00009C370000}"/>
    <cellStyle name="Note 2 3 6 2 3" xfId="14222" xr:uid="{00000000-0005-0000-0000-00009D370000}"/>
    <cellStyle name="Note 2 3 6 2 3 2" xfId="29054" xr:uid="{00000000-0005-0000-0000-00009E370000}"/>
    <cellStyle name="Note 2 3 6 2 4" xfId="11030" xr:uid="{00000000-0005-0000-0000-00009F370000}"/>
    <cellStyle name="Note 2 3 6 2 4 2" xfId="25862" xr:uid="{00000000-0005-0000-0000-0000A0370000}"/>
    <cellStyle name="Note 2 3 6 2 5" xfId="21403" xr:uid="{00000000-0005-0000-0000-0000A1370000}"/>
    <cellStyle name="Note 2 3 6 3" xfId="4741" xr:uid="{00000000-0005-0000-0000-0000A2370000}"/>
    <cellStyle name="Note 2 3 6 3 2" xfId="8780" xr:uid="{00000000-0005-0000-0000-0000A3370000}"/>
    <cellStyle name="Note 2 3 6 3 2 2" xfId="17852" xr:uid="{00000000-0005-0000-0000-0000A4370000}"/>
    <cellStyle name="Note 2 3 6 3 2 2 2" xfId="32684" xr:uid="{00000000-0005-0000-0000-0000A5370000}"/>
    <cellStyle name="Note 2 3 6 3 2 3" xfId="24310" xr:uid="{00000000-0005-0000-0000-0000A6370000}"/>
    <cellStyle name="Note 2 3 6 3 3" xfId="15065" xr:uid="{00000000-0005-0000-0000-0000A7370000}"/>
    <cellStyle name="Note 2 3 6 3 3 2" xfId="29897" xr:uid="{00000000-0005-0000-0000-0000A8370000}"/>
    <cellStyle name="Note 2 3 6 3 4" xfId="11455" xr:uid="{00000000-0005-0000-0000-0000A9370000}"/>
    <cellStyle name="Note 2 3 6 3 4 2" xfId="26287" xr:uid="{00000000-0005-0000-0000-0000AA370000}"/>
    <cellStyle name="Note 2 3 6 3 5" xfId="21848" xr:uid="{00000000-0005-0000-0000-0000AB370000}"/>
    <cellStyle name="Note 2 3 6 4" xfId="2731" xr:uid="{00000000-0005-0000-0000-0000AC370000}"/>
    <cellStyle name="Note 2 3 6 4 2" xfId="6822" xr:uid="{00000000-0005-0000-0000-0000AD370000}"/>
    <cellStyle name="Note 2 3 6 4 2 2" xfId="16746" xr:uid="{00000000-0005-0000-0000-0000AE370000}"/>
    <cellStyle name="Note 2 3 6 4 2 2 2" xfId="31578" xr:uid="{00000000-0005-0000-0000-0000AF370000}"/>
    <cellStyle name="Note 2 3 6 4 2 3" xfId="23061" xr:uid="{00000000-0005-0000-0000-0000B0370000}"/>
    <cellStyle name="Note 2 3 6 4 3" xfId="13069" xr:uid="{00000000-0005-0000-0000-0000B1370000}"/>
    <cellStyle name="Note 2 3 6 4 3 2" xfId="27901" xr:uid="{00000000-0005-0000-0000-0000B2370000}"/>
    <cellStyle name="Note 2 3 6 4 4" xfId="10399" xr:uid="{00000000-0005-0000-0000-0000B3370000}"/>
    <cellStyle name="Note 2 3 6 4 4 2" xfId="25231" xr:uid="{00000000-0005-0000-0000-0000B4370000}"/>
    <cellStyle name="Note 2 3 6 4 5" xfId="20721" xr:uid="{00000000-0005-0000-0000-0000B5370000}"/>
    <cellStyle name="Note 2 3 6 5" xfId="5895" xr:uid="{00000000-0005-0000-0000-0000B6370000}"/>
    <cellStyle name="Note 2 3 6 5 2" xfId="16087" xr:uid="{00000000-0005-0000-0000-0000B7370000}"/>
    <cellStyle name="Note 2 3 6 5 2 2" xfId="30919" xr:uid="{00000000-0005-0000-0000-0000B8370000}"/>
    <cellStyle name="Note 2 3 6 5 3" xfId="22492" xr:uid="{00000000-0005-0000-0000-0000B9370000}"/>
    <cellStyle name="Note 2 3 6 6" xfId="12157" xr:uid="{00000000-0005-0000-0000-0000BA370000}"/>
    <cellStyle name="Note 2 3 6 6 2" xfId="26989" xr:uid="{00000000-0005-0000-0000-0000BB370000}"/>
    <cellStyle name="Note 2 3 6 7" xfId="9753" xr:uid="{00000000-0005-0000-0000-0000BC370000}"/>
    <cellStyle name="Note 2 3 6 7 2" xfId="24710" xr:uid="{00000000-0005-0000-0000-0000BD370000}"/>
    <cellStyle name="Note 2 3 6 8" xfId="20300" xr:uid="{00000000-0005-0000-0000-0000BE370000}"/>
    <cellStyle name="Note 2 3 7" xfId="2203" xr:uid="{00000000-0005-0000-0000-0000BF370000}"/>
    <cellStyle name="Note 2 3 7 2" xfId="3499" xr:uid="{00000000-0005-0000-0000-0000C0370000}"/>
    <cellStyle name="Note 2 3 7 2 2" xfId="7561" xr:uid="{00000000-0005-0000-0000-0000C1370000}"/>
    <cellStyle name="Note 2 3 7 2 2 2" xfId="17222" xr:uid="{00000000-0005-0000-0000-0000C2370000}"/>
    <cellStyle name="Note 2 3 7 2 2 2 2" xfId="32054" xr:uid="{00000000-0005-0000-0000-0000C3370000}"/>
    <cellStyle name="Note 2 3 7 2 2 3" xfId="23515" xr:uid="{00000000-0005-0000-0000-0000C4370000}"/>
    <cellStyle name="Note 2 3 7 2 3" xfId="13836" xr:uid="{00000000-0005-0000-0000-0000C5370000}"/>
    <cellStyle name="Note 2 3 7 2 3 2" xfId="28668" xr:uid="{00000000-0005-0000-0000-0000C6370000}"/>
    <cellStyle name="Note 2 3 7 2 4" xfId="10840" xr:uid="{00000000-0005-0000-0000-0000C7370000}"/>
    <cellStyle name="Note 2 3 7 2 4 2" xfId="25672" xr:uid="{00000000-0005-0000-0000-0000C8370000}"/>
    <cellStyle name="Note 2 3 7 2 5" xfId="21190" xr:uid="{00000000-0005-0000-0000-0000C9370000}"/>
    <cellStyle name="Note 2 3 7 3" xfId="5171" xr:uid="{00000000-0005-0000-0000-0000CA370000}"/>
    <cellStyle name="Note 2 3 7 3 2" xfId="9210" xr:uid="{00000000-0005-0000-0000-0000CB370000}"/>
    <cellStyle name="Note 2 3 7 3 2 2" xfId="18133" xr:uid="{00000000-0005-0000-0000-0000CC370000}"/>
    <cellStyle name="Note 2 3 7 3 2 2 2" xfId="32965" xr:uid="{00000000-0005-0000-0000-0000CD370000}"/>
    <cellStyle name="Note 2 3 7 3 2 3" xfId="24548" xr:uid="{00000000-0005-0000-0000-0000CE370000}"/>
    <cellStyle name="Note 2 3 7 3 3" xfId="15489" xr:uid="{00000000-0005-0000-0000-0000CF370000}"/>
    <cellStyle name="Note 2 3 7 3 3 2" xfId="30321" xr:uid="{00000000-0005-0000-0000-0000D0370000}"/>
    <cellStyle name="Note 2 3 7 3 4" xfId="11730" xr:uid="{00000000-0005-0000-0000-0000D1370000}"/>
    <cellStyle name="Note 2 3 7 3 4 2" xfId="26562" xr:uid="{00000000-0005-0000-0000-0000D2370000}"/>
    <cellStyle name="Note 2 3 7 3 5" xfId="22055" xr:uid="{00000000-0005-0000-0000-0000D3370000}"/>
    <cellStyle name="Note 2 3 7 4" xfId="4201" xr:uid="{00000000-0005-0000-0000-0000D4370000}"/>
    <cellStyle name="Note 2 3 7 4 2" xfId="8242" xr:uid="{00000000-0005-0000-0000-0000D5370000}"/>
    <cellStyle name="Note 2 3 7 4 2 2" xfId="17589" xr:uid="{00000000-0005-0000-0000-0000D6370000}"/>
    <cellStyle name="Note 2 3 7 4 2 2 2" xfId="32421" xr:uid="{00000000-0005-0000-0000-0000D7370000}"/>
    <cellStyle name="Note 2 3 7 4 2 3" xfId="23937" xr:uid="{00000000-0005-0000-0000-0000D8370000}"/>
    <cellStyle name="Note 2 3 7 4 3" xfId="14533" xr:uid="{00000000-0005-0000-0000-0000D9370000}"/>
    <cellStyle name="Note 2 3 7 4 3 2" xfId="29365" xr:uid="{00000000-0005-0000-0000-0000DA370000}"/>
    <cellStyle name="Note 2 3 7 4 4" xfId="11209" xr:uid="{00000000-0005-0000-0000-0000DB370000}"/>
    <cellStyle name="Note 2 3 7 4 4 2" xfId="26041" xr:uid="{00000000-0005-0000-0000-0000DC370000}"/>
    <cellStyle name="Note 2 3 7 4 5" xfId="21562" xr:uid="{00000000-0005-0000-0000-0000DD370000}"/>
    <cellStyle name="Note 2 3 7 5" xfId="6317" xr:uid="{00000000-0005-0000-0000-0000DE370000}"/>
    <cellStyle name="Note 2 3 7 5 2" xfId="16501" xr:uid="{00000000-0005-0000-0000-0000DF370000}"/>
    <cellStyle name="Note 2 3 7 5 2 2" xfId="31333" xr:uid="{00000000-0005-0000-0000-0000E0370000}"/>
    <cellStyle name="Note 2 3 7 5 3" xfId="22719" xr:uid="{00000000-0005-0000-0000-0000E1370000}"/>
    <cellStyle name="Note 2 3 7 6" xfId="12571" xr:uid="{00000000-0005-0000-0000-0000E2370000}"/>
    <cellStyle name="Note 2 3 7 6 2" xfId="27403" xr:uid="{00000000-0005-0000-0000-0000E3370000}"/>
    <cellStyle name="Note 2 3 7 7" xfId="10153" xr:uid="{00000000-0005-0000-0000-0000E4370000}"/>
    <cellStyle name="Note 2 3 7 7 2" xfId="24985" xr:uid="{00000000-0005-0000-0000-0000E5370000}"/>
    <cellStyle name="Note 2 3 7 8" xfId="20398" xr:uid="{00000000-0005-0000-0000-0000E6370000}"/>
    <cellStyle name="Note 2 3 8" xfId="3158" xr:uid="{00000000-0005-0000-0000-0000E7370000}"/>
    <cellStyle name="Note 2 3 8 2" xfId="7222" xr:uid="{00000000-0005-0000-0000-0000E8370000}"/>
    <cellStyle name="Note 2 3 8 2 2" xfId="17000" xr:uid="{00000000-0005-0000-0000-0000E9370000}"/>
    <cellStyle name="Note 2 3 8 2 2 2" xfId="31832" xr:uid="{00000000-0005-0000-0000-0000EA370000}"/>
    <cellStyle name="Note 2 3 8 2 3" xfId="23287" xr:uid="{00000000-0005-0000-0000-0000EB370000}"/>
    <cellStyle name="Note 2 3 8 3" xfId="13496" xr:uid="{00000000-0005-0000-0000-0000EC370000}"/>
    <cellStyle name="Note 2 3 8 3 2" xfId="28328" xr:uid="{00000000-0005-0000-0000-0000ED370000}"/>
    <cellStyle name="Note 2 3 8 4" xfId="10652" xr:uid="{00000000-0005-0000-0000-0000EE370000}"/>
    <cellStyle name="Note 2 3 8 4 2" xfId="25484" xr:uid="{00000000-0005-0000-0000-0000EF370000}"/>
    <cellStyle name="Note 2 3 8 5" xfId="20978" xr:uid="{00000000-0005-0000-0000-0000F0370000}"/>
    <cellStyle name="Note 2 3 9" xfId="3335" xr:uid="{00000000-0005-0000-0000-0000F1370000}"/>
    <cellStyle name="Note 2 3 9 2" xfId="7398" xr:uid="{00000000-0005-0000-0000-0000F2370000}"/>
    <cellStyle name="Note 2 3 9 2 2" xfId="17131" xr:uid="{00000000-0005-0000-0000-0000F3370000}"/>
    <cellStyle name="Note 2 3 9 2 2 2" xfId="31963" xr:uid="{00000000-0005-0000-0000-0000F4370000}"/>
    <cellStyle name="Note 2 3 9 2 3" xfId="23404" xr:uid="{00000000-0005-0000-0000-0000F5370000}"/>
    <cellStyle name="Note 2 3 9 3" xfId="13672" xr:uid="{00000000-0005-0000-0000-0000F6370000}"/>
    <cellStyle name="Note 2 3 9 3 2" xfId="28504" xr:uid="{00000000-0005-0000-0000-0000F7370000}"/>
    <cellStyle name="Note 2 3 9 4" xfId="10752" xr:uid="{00000000-0005-0000-0000-0000F8370000}"/>
    <cellStyle name="Note 2 3 9 4 2" xfId="25584" xr:uid="{00000000-0005-0000-0000-0000F9370000}"/>
    <cellStyle name="Note 2 3 9 5" xfId="21092" xr:uid="{00000000-0005-0000-0000-0000FA370000}"/>
    <cellStyle name="Note 2 4" xfId="1219" xr:uid="{00000000-0005-0000-0000-0000FB370000}"/>
    <cellStyle name="Note 2 4 10" xfId="2305" xr:uid="{00000000-0005-0000-0000-0000FC370000}"/>
    <cellStyle name="Note 2 4 10 2" xfId="6417" xr:uid="{00000000-0005-0000-0000-0000FD370000}"/>
    <cellStyle name="Note 2 4 10 2 2" xfId="16510" xr:uid="{00000000-0005-0000-0000-0000FE370000}"/>
    <cellStyle name="Note 2 4 10 2 2 2" xfId="31342" xr:uid="{00000000-0005-0000-0000-0000FF370000}"/>
    <cellStyle name="Note 2 4 10 2 3" xfId="22819" xr:uid="{00000000-0005-0000-0000-000000380000}"/>
    <cellStyle name="Note 2 4 10 3" xfId="12645" xr:uid="{00000000-0005-0000-0000-000001380000}"/>
    <cellStyle name="Note 2 4 10 3 2" xfId="27477" xr:uid="{00000000-0005-0000-0000-000002380000}"/>
    <cellStyle name="Note 2 4 10 4" xfId="10161" xr:uid="{00000000-0005-0000-0000-000003380000}"/>
    <cellStyle name="Note 2 4 10 4 2" xfId="24993" xr:uid="{00000000-0005-0000-0000-000004380000}"/>
    <cellStyle name="Note 2 4 10 5" xfId="20468" xr:uid="{00000000-0005-0000-0000-000005380000}"/>
    <cellStyle name="Note 2 4 11" xfId="5268" xr:uid="{00000000-0005-0000-0000-000006380000}"/>
    <cellStyle name="Note 2 4 11 2" xfId="9276" xr:uid="{00000000-0005-0000-0000-000007380000}"/>
    <cellStyle name="Note 2 4 11 2 2" xfId="18143" xr:uid="{00000000-0005-0000-0000-000008380000}"/>
    <cellStyle name="Note 2 4 11 2 2 2" xfId="32975" xr:uid="{00000000-0005-0000-0000-000009380000}"/>
    <cellStyle name="Note 2 4 11 2 3" xfId="24614" xr:uid="{00000000-0005-0000-0000-00000A380000}"/>
    <cellStyle name="Note 2 4 11 3" xfId="15584" xr:uid="{00000000-0005-0000-0000-00000B380000}"/>
    <cellStyle name="Note 2 4 11 3 2" xfId="30416" xr:uid="{00000000-0005-0000-0000-00000C380000}"/>
    <cellStyle name="Note 2 4 11 4" xfId="22125" xr:uid="{00000000-0005-0000-0000-00000D380000}"/>
    <cellStyle name="Note 2 4 12" xfId="5426" xr:uid="{00000000-0005-0000-0000-00000E380000}"/>
    <cellStyle name="Note 2 4 12 2" xfId="15662" xr:uid="{00000000-0005-0000-0000-00000F380000}"/>
    <cellStyle name="Note 2 4 12 2 2" xfId="30494" xr:uid="{00000000-0005-0000-0000-000010380000}"/>
    <cellStyle name="Note 2 4 12 3" xfId="22187" xr:uid="{00000000-0005-0000-0000-000011380000}"/>
    <cellStyle name="Note 2 4 13" xfId="9365" xr:uid="{00000000-0005-0000-0000-000012380000}"/>
    <cellStyle name="Note 2 4 13 2" xfId="24671" xr:uid="{00000000-0005-0000-0000-000013380000}"/>
    <cellStyle name="Note 2 4 14" xfId="5354" xr:uid="{00000000-0005-0000-0000-000014380000}"/>
    <cellStyle name="Note 2 4 14 2" xfId="18228" xr:uid="{00000000-0005-0000-0000-000015380000}"/>
    <cellStyle name="Note 2 4 2" xfId="1338" xr:uid="{00000000-0005-0000-0000-000016380000}"/>
    <cellStyle name="Note 2 4 2 2" xfId="1842" xr:uid="{00000000-0005-0000-0000-000017380000}"/>
    <cellStyle name="Note 2 4 2 2 2" xfId="3636" xr:uid="{00000000-0005-0000-0000-000018380000}"/>
    <cellStyle name="Note 2 4 2 2 2 2" xfId="7695" xr:uid="{00000000-0005-0000-0000-000019380000}"/>
    <cellStyle name="Note 2 4 2 2 2 2 2" xfId="17294" xr:uid="{00000000-0005-0000-0000-00001A380000}"/>
    <cellStyle name="Note 2 4 2 2 2 2 2 2" xfId="32126" xr:uid="{00000000-0005-0000-0000-00001B380000}"/>
    <cellStyle name="Note 2 4 2 2 2 2 3" xfId="23598" xr:uid="{00000000-0005-0000-0000-00001C380000}"/>
    <cellStyle name="Note 2 4 2 2 2 3" xfId="13971" xr:uid="{00000000-0005-0000-0000-00001D380000}"/>
    <cellStyle name="Note 2 4 2 2 2 3 2" xfId="28803" xr:uid="{00000000-0005-0000-0000-00001E380000}"/>
    <cellStyle name="Note 2 4 2 2 2 4" xfId="10910" xr:uid="{00000000-0005-0000-0000-00001F380000}"/>
    <cellStyle name="Note 2 4 2 2 2 4 2" xfId="25742" xr:uid="{00000000-0005-0000-0000-000020380000}"/>
    <cellStyle name="Note 2 4 2 2 2 5" xfId="21263" xr:uid="{00000000-0005-0000-0000-000021380000}"/>
    <cellStyle name="Note 2 4 2 2 3" xfId="4820" xr:uid="{00000000-0005-0000-0000-000022380000}"/>
    <cellStyle name="Note 2 4 2 2 3 2" xfId="8859" xr:uid="{00000000-0005-0000-0000-000023380000}"/>
    <cellStyle name="Note 2 4 2 2 3 2 2" xfId="17900" xr:uid="{00000000-0005-0000-0000-000024380000}"/>
    <cellStyle name="Note 2 4 2 2 3 2 2 2" xfId="32732" xr:uid="{00000000-0005-0000-0000-000025380000}"/>
    <cellStyle name="Note 2 4 2 2 3 2 3" xfId="24357" xr:uid="{00000000-0005-0000-0000-000026380000}"/>
    <cellStyle name="Note 2 4 2 2 3 3" xfId="15144" xr:uid="{00000000-0005-0000-0000-000027380000}"/>
    <cellStyle name="Note 2 4 2 2 3 3 2" xfId="29976" xr:uid="{00000000-0005-0000-0000-000028380000}"/>
    <cellStyle name="Note 2 4 2 2 3 4" xfId="11503" xr:uid="{00000000-0005-0000-0000-000029380000}"/>
    <cellStyle name="Note 2 4 2 2 3 4 2" xfId="26335" xr:uid="{00000000-0005-0000-0000-00002A380000}"/>
    <cellStyle name="Note 2 4 2 2 3 5" xfId="21895" xr:uid="{00000000-0005-0000-0000-00002B380000}"/>
    <cellStyle name="Note 2 4 2 2 4" xfId="2810" xr:uid="{00000000-0005-0000-0000-00002C380000}"/>
    <cellStyle name="Note 2 4 2 2 4 2" xfId="6901" xr:uid="{00000000-0005-0000-0000-00002D380000}"/>
    <cellStyle name="Note 2 4 2 2 4 2 2" xfId="16794" xr:uid="{00000000-0005-0000-0000-00002E380000}"/>
    <cellStyle name="Note 2 4 2 2 4 2 2 2" xfId="31626" xr:uid="{00000000-0005-0000-0000-00002F380000}"/>
    <cellStyle name="Note 2 4 2 2 4 2 3" xfId="23108" xr:uid="{00000000-0005-0000-0000-000030380000}"/>
    <cellStyle name="Note 2 4 2 2 4 3" xfId="13148" xr:uid="{00000000-0005-0000-0000-000031380000}"/>
    <cellStyle name="Note 2 4 2 2 4 3 2" xfId="27980" xr:uid="{00000000-0005-0000-0000-000032380000}"/>
    <cellStyle name="Note 2 4 2 2 4 4" xfId="10447" xr:uid="{00000000-0005-0000-0000-000033380000}"/>
    <cellStyle name="Note 2 4 2 2 4 4 2" xfId="25279" xr:uid="{00000000-0005-0000-0000-000034380000}"/>
    <cellStyle name="Note 2 4 2 2 4 5" xfId="20768" xr:uid="{00000000-0005-0000-0000-000035380000}"/>
    <cellStyle name="Note 2 4 2 2 5" xfId="5974" xr:uid="{00000000-0005-0000-0000-000036380000}"/>
    <cellStyle name="Note 2 4 2 2 5 2" xfId="16166" xr:uid="{00000000-0005-0000-0000-000037380000}"/>
    <cellStyle name="Note 2 4 2 2 5 2 2" xfId="30998" xr:uid="{00000000-0005-0000-0000-000038380000}"/>
    <cellStyle name="Note 2 4 2 2 5 3" xfId="22539" xr:uid="{00000000-0005-0000-0000-000039380000}"/>
    <cellStyle name="Note 2 4 2 2 6" xfId="12236" xr:uid="{00000000-0005-0000-0000-00003A380000}"/>
    <cellStyle name="Note 2 4 2 2 6 2" xfId="27068" xr:uid="{00000000-0005-0000-0000-00003B380000}"/>
    <cellStyle name="Note 2 4 2 2 7" xfId="9832" xr:uid="{00000000-0005-0000-0000-00003C380000}"/>
    <cellStyle name="Note 2 4 2 2 7 2" xfId="24758" xr:uid="{00000000-0005-0000-0000-00003D380000}"/>
    <cellStyle name="Note 2 4 2 2 8" xfId="20316" xr:uid="{00000000-0005-0000-0000-00003E380000}"/>
    <cellStyle name="Note 2 4 2 3" xfId="3240" xr:uid="{00000000-0005-0000-0000-00003F380000}"/>
    <cellStyle name="Note 2 4 2 3 2" xfId="7304" xr:uid="{00000000-0005-0000-0000-000040380000}"/>
    <cellStyle name="Note 2 4 2 3 2 2" xfId="17062" xr:uid="{00000000-0005-0000-0000-000041380000}"/>
    <cellStyle name="Note 2 4 2 3 2 2 2" xfId="31894" xr:uid="{00000000-0005-0000-0000-000042380000}"/>
    <cellStyle name="Note 2 4 2 3 2 3" xfId="23344" xr:uid="{00000000-0005-0000-0000-000043380000}"/>
    <cellStyle name="Note 2 4 2 3 3" xfId="13577" xr:uid="{00000000-0005-0000-0000-000044380000}"/>
    <cellStyle name="Note 2 4 2 3 3 2" xfId="28409" xr:uid="{00000000-0005-0000-0000-000045380000}"/>
    <cellStyle name="Note 2 4 2 3 4" xfId="10696" xr:uid="{00000000-0005-0000-0000-000046380000}"/>
    <cellStyle name="Note 2 4 2 3 4 2" xfId="25528" xr:uid="{00000000-0005-0000-0000-000047380000}"/>
    <cellStyle name="Note 2 4 2 3 5" xfId="21031" xr:uid="{00000000-0005-0000-0000-000048380000}"/>
    <cellStyle name="Note 2 4 2 4" xfId="4400" xr:uid="{00000000-0005-0000-0000-000049380000}"/>
    <cellStyle name="Note 2 4 2 4 2" xfId="8439" xr:uid="{00000000-0005-0000-0000-00004A380000}"/>
    <cellStyle name="Note 2 4 2 4 2 2" xfId="17660" xr:uid="{00000000-0005-0000-0000-00004B380000}"/>
    <cellStyle name="Note 2 4 2 4 2 2 2" xfId="32492" xr:uid="{00000000-0005-0000-0000-00004C380000}"/>
    <cellStyle name="Note 2 4 2 4 2 3" xfId="24097" xr:uid="{00000000-0005-0000-0000-00004D380000}"/>
    <cellStyle name="Note 2 4 2 4 3" xfId="14729" xr:uid="{00000000-0005-0000-0000-00004E380000}"/>
    <cellStyle name="Note 2 4 2 4 3 2" xfId="29561" xr:uid="{00000000-0005-0000-0000-00004F380000}"/>
    <cellStyle name="Note 2 4 2 4 4" xfId="11268" xr:uid="{00000000-0005-0000-0000-000050380000}"/>
    <cellStyle name="Note 2 4 2 4 4 2" xfId="26100" xr:uid="{00000000-0005-0000-0000-000051380000}"/>
    <cellStyle name="Note 2 4 2 4 5" xfId="21665" xr:uid="{00000000-0005-0000-0000-000052380000}"/>
    <cellStyle name="Note 2 4 2 5" xfId="2390" xr:uid="{00000000-0005-0000-0000-000053380000}"/>
    <cellStyle name="Note 2 4 2 5 2" xfId="6502" xr:uid="{00000000-0005-0000-0000-000054380000}"/>
    <cellStyle name="Note 2 4 2 5 2 2" xfId="16558" xr:uid="{00000000-0005-0000-0000-000055380000}"/>
    <cellStyle name="Note 2 4 2 5 2 2 2" xfId="31390" xr:uid="{00000000-0005-0000-0000-000056380000}"/>
    <cellStyle name="Note 2 4 2 5 2 3" xfId="22872" xr:uid="{00000000-0005-0000-0000-000057380000}"/>
    <cellStyle name="Note 2 4 2 5 3" xfId="12729" xr:uid="{00000000-0005-0000-0000-000058380000}"/>
    <cellStyle name="Note 2 4 2 5 3 2" xfId="27561" xr:uid="{00000000-0005-0000-0000-000059380000}"/>
    <cellStyle name="Note 2 4 2 5 4" xfId="10208" xr:uid="{00000000-0005-0000-0000-00005A380000}"/>
    <cellStyle name="Note 2 4 2 5 4 2" xfId="25040" xr:uid="{00000000-0005-0000-0000-00005B380000}"/>
    <cellStyle name="Note 2 4 2 5 5" xfId="20514" xr:uid="{00000000-0005-0000-0000-00005C380000}"/>
    <cellStyle name="Note 2 4 2 6" xfId="5515" xr:uid="{00000000-0005-0000-0000-00005D380000}"/>
    <cellStyle name="Note 2 4 2 6 2" xfId="15750" xr:uid="{00000000-0005-0000-0000-00005E380000}"/>
    <cellStyle name="Note 2 4 2 6 2 2" xfId="30582" xr:uid="{00000000-0005-0000-0000-00005F380000}"/>
    <cellStyle name="Note 2 4 2 6 3" xfId="22243" xr:uid="{00000000-0005-0000-0000-000060380000}"/>
    <cellStyle name="Note 2 4 2 7" xfId="11765" xr:uid="{00000000-0005-0000-0000-000061380000}"/>
    <cellStyle name="Note 2 4 2 7 2" xfId="26597" xr:uid="{00000000-0005-0000-0000-000062380000}"/>
    <cellStyle name="Note 2 4 2 8" xfId="9436" xr:uid="{00000000-0005-0000-0000-000063380000}"/>
    <cellStyle name="Note 2 4 2 8 2" xfId="19740" xr:uid="{00000000-0005-0000-0000-000064380000}"/>
    <cellStyle name="Note 2 4 3" xfId="1508" xr:uid="{00000000-0005-0000-0000-000065380000}"/>
    <cellStyle name="Note 2 4 3 2" xfId="2005" xr:uid="{00000000-0005-0000-0000-000066380000}"/>
    <cellStyle name="Note 2 4 3 2 2" xfId="3527" xr:uid="{00000000-0005-0000-0000-000067380000}"/>
    <cellStyle name="Note 2 4 3 2 2 2" xfId="7589" xr:uid="{00000000-0005-0000-0000-000068380000}"/>
    <cellStyle name="Note 2 4 3 2 2 2 2" xfId="17234" xr:uid="{00000000-0005-0000-0000-000069380000}"/>
    <cellStyle name="Note 2 4 3 2 2 2 2 2" xfId="32066" xr:uid="{00000000-0005-0000-0000-00006A380000}"/>
    <cellStyle name="Note 2 4 3 2 2 2 3" xfId="23537" xr:uid="{00000000-0005-0000-0000-00006B380000}"/>
    <cellStyle name="Note 2 4 3 2 2 3" xfId="13864" xr:uid="{00000000-0005-0000-0000-00006C380000}"/>
    <cellStyle name="Note 2 4 3 2 2 3 2" xfId="28696" xr:uid="{00000000-0005-0000-0000-00006D380000}"/>
    <cellStyle name="Note 2 4 3 2 2 4" xfId="10852" xr:uid="{00000000-0005-0000-0000-00006E380000}"/>
    <cellStyle name="Note 2 4 3 2 2 4 2" xfId="25684" xr:uid="{00000000-0005-0000-0000-00006F380000}"/>
    <cellStyle name="Note 2 4 3 2 2 5" xfId="21212" xr:uid="{00000000-0005-0000-0000-000070380000}"/>
    <cellStyle name="Note 2 4 3 2 3" xfId="4973" xr:uid="{00000000-0005-0000-0000-000071380000}"/>
    <cellStyle name="Note 2 4 3 2 3 2" xfId="9012" xr:uid="{00000000-0005-0000-0000-000072380000}"/>
    <cellStyle name="Note 2 4 3 2 3 2 2" xfId="17950" xr:uid="{00000000-0005-0000-0000-000073380000}"/>
    <cellStyle name="Note 2 4 3 2 3 2 2 2" xfId="32782" xr:uid="{00000000-0005-0000-0000-000074380000}"/>
    <cellStyle name="Note 2 4 3 2 3 2 3" xfId="24478" xr:uid="{00000000-0005-0000-0000-000075380000}"/>
    <cellStyle name="Note 2 4 3 2 3 3" xfId="15295" xr:uid="{00000000-0005-0000-0000-000076380000}"/>
    <cellStyle name="Note 2 4 3 2 3 3 2" xfId="30127" xr:uid="{00000000-0005-0000-0000-000077380000}"/>
    <cellStyle name="Note 2 4 3 2 3 4" xfId="11551" xr:uid="{00000000-0005-0000-0000-000078380000}"/>
    <cellStyle name="Note 2 4 3 2 3 4 2" xfId="26383" xr:uid="{00000000-0005-0000-0000-000079380000}"/>
    <cellStyle name="Note 2 4 3 2 3 5" xfId="22004" xr:uid="{00000000-0005-0000-0000-00007A380000}"/>
    <cellStyle name="Note 2 4 3 2 4" xfId="2963" xr:uid="{00000000-0005-0000-0000-00007B380000}"/>
    <cellStyle name="Note 2 4 3 2 4 2" xfId="7043" xr:uid="{00000000-0005-0000-0000-00007C380000}"/>
    <cellStyle name="Note 2 4 3 2 4 2 2" xfId="16842" xr:uid="{00000000-0005-0000-0000-00007D380000}"/>
    <cellStyle name="Note 2 4 3 2 4 2 2 2" xfId="31674" xr:uid="{00000000-0005-0000-0000-00007E380000}"/>
    <cellStyle name="Note 2 4 3 2 4 2 3" xfId="23217" xr:uid="{00000000-0005-0000-0000-00007F380000}"/>
    <cellStyle name="Note 2 4 3 2 4 3" xfId="13301" xr:uid="{00000000-0005-0000-0000-000080380000}"/>
    <cellStyle name="Note 2 4 3 2 4 3 2" xfId="28133" xr:uid="{00000000-0005-0000-0000-000081380000}"/>
    <cellStyle name="Note 2 4 3 2 4 4" xfId="10497" xr:uid="{00000000-0005-0000-0000-000082380000}"/>
    <cellStyle name="Note 2 4 3 2 4 4 2" xfId="25329" xr:uid="{00000000-0005-0000-0000-000083380000}"/>
    <cellStyle name="Note 2 4 3 2 4 5" xfId="20889" xr:uid="{00000000-0005-0000-0000-000084380000}"/>
    <cellStyle name="Note 2 4 3 2 5" xfId="6135" xr:uid="{00000000-0005-0000-0000-000085380000}"/>
    <cellStyle name="Note 2 4 3 2 5 2" xfId="16322" xr:uid="{00000000-0005-0000-0000-000086380000}"/>
    <cellStyle name="Note 2 4 3 2 5 2 2" xfId="31154" xr:uid="{00000000-0005-0000-0000-000087380000}"/>
    <cellStyle name="Note 2 4 3 2 5 3" xfId="22668" xr:uid="{00000000-0005-0000-0000-000088380000}"/>
    <cellStyle name="Note 2 4 3 2 6" xfId="12392" xr:uid="{00000000-0005-0000-0000-000089380000}"/>
    <cellStyle name="Note 2 4 3 2 6 2" xfId="27224" xr:uid="{00000000-0005-0000-0000-00008A380000}"/>
    <cellStyle name="Note 2 4 3 2 7" xfId="9974" xr:uid="{00000000-0005-0000-0000-00008B380000}"/>
    <cellStyle name="Note 2 4 3 2 7 2" xfId="24806" xr:uid="{00000000-0005-0000-0000-00008C380000}"/>
    <cellStyle name="Note 2 4 3 2 8" xfId="20347" xr:uid="{00000000-0005-0000-0000-00008D380000}"/>
    <cellStyle name="Note 2 4 3 3" xfId="3294" xr:uid="{00000000-0005-0000-0000-00008E380000}"/>
    <cellStyle name="Note 2 4 3 3 2" xfId="7358" xr:uid="{00000000-0005-0000-0000-00008F380000}"/>
    <cellStyle name="Note 2 4 3 3 2 2" xfId="17100" xr:uid="{00000000-0005-0000-0000-000090380000}"/>
    <cellStyle name="Note 2 4 3 3 2 2 2" xfId="31932" xr:uid="{00000000-0005-0000-0000-000091380000}"/>
    <cellStyle name="Note 2 4 3 3 2 3" xfId="23381" xr:uid="{00000000-0005-0000-0000-000092380000}"/>
    <cellStyle name="Note 2 4 3 3 3" xfId="13631" xr:uid="{00000000-0005-0000-0000-000093380000}"/>
    <cellStyle name="Note 2 4 3 3 3 2" xfId="28463" xr:uid="{00000000-0005-0000-0000-000094380000}"/>
    <cellStyle name="Note 2 4 3 3 4" xfId="10726" xr:uid="{00000000-0005-0000-0000-000095380000}"/>
    <cellStyle name="Note 2 4 3 3 4 2" xfId="25558" xr:uid="{00000000-0005-0000-0000-000096380000}"/>
    <cellStyle name="Note 2 4 3 3 5" xfId="21068" xr:uid="{00000000-0005-0000-0000-000097380000}"/>
    <cellStyle name="Note 2 4 3 4" xfId="4553" xr:uid="{00000000-0005-0000-0000-000098380000}"/>
    <cellStyle name="Note 2 4 3 4 2" xfId="8592" xr:uid="{00000000-0005-0000-0000-000099380000}"/>
    <cellStyle name="Note 2 4 3 4 2 2" xfId="17710" xr:uid="{00000000-0005-0000-0000-00009A380000}"/>
    <cellStyle name="Note 2 4 3 4 2 2 2" xfId="32542" xr:uid="{00000000-0005-0000-0000-00009B380000}"/>
    <cellStyle name="Note 2 4 3 4 2 3" xfId="24218" xr:uid="{00000000-0005-0000-0000-00009C380000}"/>
    <cellStyle name="Note 2 4 3 4 3" xfId="14880" xr:uid="{00000000-0005-0000-0000-00009D380000}"/>
    <cellStyle name="Note 2 4 3 4 3 2" xfId="29712" xr:uid="{00000000-0005-0000-0000-00009E380000}"/>
    <cellStyle name="Note 2 4 3 4 4" xfId="11316" xr:uid="{00000000-0005-0000-0000-00009F380000}"/>
    <cellStyle name="Note 2 4 3 4 4 2" xfId="26148" xr:uid="{00000000-0005-0000-0000-0000A0380000}"/>
    <cellStyle name="Note 2 4 3 4 5" xfId="21774" xr:uid="{00000000-0005-0000-0000-0000A1380000}"/>
    <cellStyle name="Note 2 4 3 5" xfId="2543" xr:uid="{00000000-0005-0000-0000-0000A2380000}"/>
    <cellStyle name="Note 2 4 3 5 2" xfId="6649" xr:uid="{00000000-0005-0000-0000-0000A3380000}"/>
    <cellStyle name="Note 2 4 3 5 2 2" xfId="16607" xr:uid="{00000000-0005-0000-0000-0000A4380000}"/>
    <cellStyle name="Note 2 4 3 5 2 2 2" xfId="31439" xr:uid="{00000000-0005-0000-0000-0000A5380000}"/>
    <cellStyle name="Note 2 4 3 5 2 3" xfId="22987" xr:uid="{00000000-0005-0000-0000-0000A6380000}"/>
    <cellStyle name="Note 2 4 3 5 3" xfId="12881" xr:uid="{00000000-0005-0000-0000-0000A7380000}"/>
    <cellStyle name="Note 2 4 3 5 3 2" xfId="27713" xr:uid="{00000000-0005-0000-0000-0000A8380000}"/>
    <cellStyle name="Note 2 4 3 5 4" xfId="10257" xr:uid="{00000000-0005-0000-0000-0000A9380000}"/>
    <cellStyle name="Note 2 4 3 5 4 2" xfId="25089" xr:uid="{00000000-0005-0000-0000-0000AA380000}"/>
    <cellStyle name="Note 2 4 3 5 5" xfId="20629" xr:uid="{00000000-0005-0000-0000-0000AB380000}"/>
    <cellStyle name="Note 2 4 3 6" xfId="5666" xr:uid="{00000000-0005-0000-0000-0000AC380000}"/>
    <cellStyle name="Note 2 4 3 6 2" xfId="15901" xr:uid="{00000000-0005-0000-0000-0000AD380000}"/>
    <cellStyle name="Note 2 4 3 6 2 2" xfId="30733" xr:uid="{00000000-0005-0000-0000-0000AE380000}"/>
    <cellStyle name="Note 2 4 3 6 3" xfId="22362" xr:uid="{00000000-0005-0000-0000-0000AF380000}"/>
    <cellStyle name="Note 2 4 3 7" xfId="11921" xr:uid="{00000000-0005-0000-0000-0000B0380000}"/>
    <cellStyle name="Note 2 4 3 7 2" xfId="26753" xr:uid="{00000000-0005-0000-0000-0000B1380000}"/>
    <cellStyle name="Note 2 4 3 8" xfId="9579" xr:uid="{00000000-0005-0000-0000-0000B2380000}"/>
    <cellStyle name="Note 2 4 3 8 2" xfId="19881" xr:uid="{00000000-0005-0000-0000-0000B3380000}"/>
    <cellStyle name="Note 2 4 4" xfId="1563" xr:uid="{00000000-0005-0000-0000-0000B4380000}"/>
    <cellStyle name="Note 2 4 4 2" xfId="2060" xr:uid="{00000000-0005-0000-0000-0000B5380000}"/>
    <cellStyle name="Note 2 4 4 2 2" xfId="3401" xr:uid="{00000000-0005-0000-0000-0000B6380000}"/>
    <cellStyle name="Note 2 4 4 2 2 2" xfId="7464" xr:uid="{00000000-0005-0000-0000-0000B7380000}"/>
    <cellStyle name="Note 2 4 4 2 2 2 2" xfId="17163" xr:uid="{00000000-0005-0000-0000-0000B8380000}"/>
    <cellStyle name="Note 2 4 4 2 2 2 2 2" xfId="31995" xr:uid="{00000000-0005-0000-0000-0000B9380000}"/>
    <cellStyle name="Note 2 4 4 2 2 2 3" xfId="23452" xr:uid="{00000000-0005-0000-0000-0000BA380000}"/>
    <cellStyle name="Note 2 4 4 2 2 3" xfId="13738" xr:uid="{00000000-0005-0000-0000-0000BB380000}"/>
    <cellStyle name="Note 2 4 4 2 2 3 2" xfId="28570" xr:uid="{00000000-0005-0000-0000-0000BC380000}"/>
    <cellStyle name="Note 2 4 4 2 2 4" xfId="10782" xr:uid="{00000000-0005-0000-0000-0000BD380000}"/>
    <cellStyle name="Note 2 4 4 2 2 4 2" xfId="25614" xr:uid="{00000000-0005-0000-0000-0000BE380000}"/>
    <cellStyle name="Note 2 4 4 2 2 5" xfId="21130" xr:uid="{00000000-0005-0000-0000-0000BF380000}"/>
    <cellStyle name="Note 2 4 4 2 3" xfId="5028" xr:uid="{00000000-0005-0000-0000-0000C0380000}"/>
    <cellStyle name="Note 2 4 4 2 3 2" xfId="9067" xr:uid="{00000000-0005-0000-0000-0000C1380000}"/>
    <cellStyle name="Note 2 4 4 2 3 2 2" xfId="18000" xr:uid="{00000000-0005-0000-0000-0000C2380000}"/>
    <cellStyle name="Note 2 4 4 2 3 2 2 2" xfId="32832" xr:uid="{00000000-0005-0000-0000-0000C3380000}"/>
    <cellStyle name="Note 2 4 4 2 3 2 3" xfId="24501" xr:uid="{00000000-0005-0000-0000-0000C4380000}"/>
    <cellStyle name="Note 2 4 4 2 3 3" xfId="15349" xr:uid="{00000000-0005-0000-0000-0000C5380000}"/>
    <cellStyle name="Note 2 4 4 2 3 3 2" xfId="30181" xr:uid="{00000000-0005-0000-0000-0000C6380000}"/>
    <cellStyle name="Note 2 4 4 2 3 4" xfId="11600" xr:uid="{00000000-0005-0000-0000-0000C7380000}"/>
    <cellStyle name="Note 2 4 4 2 3 4 2" xfId="26432" xr:uid="{00000000-0005-0000-0000-0000C8380000}"/>
    <cellStyle name="Note 2 4 4 2 3 5" xfId="22021" xr:uid="{00000000-0005-0000-0000-0000C9380000}"/>
    <cellStyle name="Note 2 4 4 2 4" xfId="3018" xr:uid="{00000000-0005-0000-0000-0000CA380000}"/>
    <cellStyle name="Note 2 4 4 2 4 2" xfId="7093" xr:uid="{00000000-0005-0000-0000-0000CB380000}"/>
    <cellStyle name="Note 2 4 4 2 4 2 2" xfId="16891" xr:uid="{00000000-0005-0000-0000-0000CC380000}"/>
    <cellStyle name="Note 2 4 4 2 4 2 2 2" xfId="31723" xr:uid="{00000000-0005-0000-0000-0000CD380000}"/>
    <cellStyle name="Note 2 4 4 2 4 2 3" xfId="23234" xr:uid="{00000000-0005-0000-0000-0000CE380000}"/>
    <cellStyle name="Note 2 4 4 2 4 3" xfId="13356" xr:uid="{00000000-0005-0000-0000-0000CF380000}"/>
    <cellStyle name="Note 2 4 4 2 4 3 2" xfId="28188" xr:uid="{00000000-0005-0000-0000-0000D0380000}"/>
    <cellStyle name="Note 2 4 4 2 4 4" xfId="10547" xr:uid="{00000000-0005-0000-0000-0000D1380000}"/>
    <cellStyle name="Note 2 4 4 2 4 4 2" xfId="25379" xr:uid="{00000000-0005-0000-0000-0000D2380000}"/>
    <cellStyle name="Note 2 4 4 2 4 5" xfId="20912" xr:uid="{00000000-0005-0000-0000-0000D3380000}"/>
    <cellStyle name="Note 2 4 4 2 5" xfId="6185" xr:uid="{00000000-0005-0000-0000-0000D4380000}"/>
    <cellStyle name="Note 2 4 4 2 5 2" xfId="16371" xr:uid="{00000000-0005-0000-0000-0000D5380000}"/>
    <cellStyle name="Note 2 4 4 2 5 2 2" xfId="31203" xr:uid="{00000000-0005-0000-0000-0000D6380000}"/>
    <cellStyle name="Note 2 4 4 2 5 3" xfId="22685" xr:uid="{00000000-0005-0000-0000-0000D7380000}"/>
    <cellStyle name="Note 2 4 4 2 6" xfId="12441" xr:uid="{00000000-0005-0000-0000-0000D8380000}"/>
    <cellStyle name="Note 2 4 4 2 6 2" xfId="27273" xr:uid="{00000000-0005-0000-0000-0000D9380000}"/>
    <cellStyle name="Note 2 4 4 2 7" xfId="10023" xr:uid="{00000000-0005-0000-0000-0000DA380000}"/>
    <cellStyle name="Note 2 4 4 2 7 2" xfId="24855" xr:uid="{00000000-0005-0000-0000-0000DB380000}"/>
    <cellStyle name="Note 2 4 4 2 8" xfId="20364" xr:uid="{00000000-0005-0000-0000-0000DC380000}"/>
    <cellStyle name="Note 2 4 4 3" xfId="4305" xr:uid="{00000000-0005-0000-0000-0000DD380000}"/>
    <cellStyle name="Note 2 4 4 3 2" xfId="8344" xr:uid="{00000000-0005-0000-0000-0000DE380000}"/>
    <cellStyle name="Note 2 4 4 3 2 2" xfId="17623" xr:uid="{00000000-0005-0000-0000-0000DF380000}"/>
    <cellStyle name="Note 2 4 4 3 2 2 2" xfId="32455" xr:uid="{00000000-0005-0000-0000-0000E0380000}"/>
    <cellStyle name="Note 2 4 4 3 2 3" xfId="24026" xr:uid="{00000000-0005-0000-0000-0000E1380000}"/>
    <cellStyle name="Note 2 4 4 3 3" xfId="14636" xr:uid="{00000000-0005-0000-0000-0000E2380000}"/>
    <cellStyle name="Note 2 4 4 3 3 2" xfId="29468" xr:uid="{00000000-0005-0000-0000-0000E3380000}"/>
    <cellStyle name="Note 2 4 4 3 4" xfId="11235" xr:uid="{00000000-0005-0000-0000-0000E4380000}"/>
    <cellStyle name="Note 2 4 4 3 4 2" xfId="26067" xr:uid="{00000000-0005-0000-0000-0000E5380000}"/>
    <cellStyle name="Note 2 4 4 3 5" xfId="21623" xr:uid="{00000000-0005-0000-0000-0000E6380000}"/>
    <cellStyle name="Note 2 4 4 4" xfId="4608" xr:uid="{00000000-0005-0000-0000-0000E7380000}"/>
    <cellStyle name="Note 2 4 4 4 2" xfId="8647" xr:uid="{00000000-0005-0000-0000-0000E8380000}"/>
    <cellStyle name="Note 2 4 4 4 2 2" xfId="17760" xr:uid="{00000000-0005-0000-0000-0000E9380000}"/>
    <cellStyle name="Note 2 4 4 4 2 2 2" xfId="32592" xr:uid="{00000000-0005-0000-0000-0000EA380000}"/>
    <cellStyle name="Note 2 4 4 4 2 3" xfId="24241" xr:uid="{00000000-0005-0000-0000-0000EB380000}"/>
    <cellStyle name="Note 2 4 4 4 3" xfId="14934" xr:uid="{00000000-0005-0000-0000-0000EC380000}"/>
    <cellStyle name="Note 2 4 4 4 3 2" xfId="29766" xr:uid="{00000000-0005-0000-0000-0000ED380000}"/>
    <cellStyle name="Note 2 4 4 4 4" xfId="11365" xr:uid="{00000000-0005-0000-0000-0000EE380000}"/>
    <cellStyle name="Note 2 4 4 4 4 2" xfId="26197" xr:uid="{00000000-0005-0000-0000-0000EF380000}"/>
    <cellStyle name="Note 2 4 4 4 5" xfId="21791" xr:uid="{00000000-0005-0000-0000-0000F0380000}"/>
    <cellStyle name="Note 2 4 4 5" xfId="2598" xr:uid="{00000000-0005-0000-0000-0000F1380000}"/>
    <cellStyle name="Note 2 4 4 5 2" xfId="6699" xr:uid="{00000000-0005-0000-0000-0000F2380000}"/>
    <cellStyle name="Note 2 4 4 5 2 2" xfId="16656" xr:uid="{00000000-0005-0000-0000-0000F3380000}"/>
    <cellStyle name="Note 2 4 4 5 2 2 2" xfId="31488" xr:uid="{00000000-0005-0000-0000-0000F4380000}"/>
    <cellStyle name="Note 2 4 4 5 2 3" xfId="23004" xr:uid="{00000000-0005-0000-0000-0000F5380000}"/>
    <cellStyle name="Note 2 4 4 5 3" xfId="12936" xr:uid="{00000000-0005-0000-0000-0000F6380000}"/>
    <cellStyle name="Note 2 4 4 5 3 2" xfId="27768" xr:uid="{00000000-0005-0000-0000-0000F7380000}"/>
    <cellStyle name="Note 2 4 4 5 4" xfId="10307" xr:uid="{00000000-0005-0000-0000-0000F8380000}"/>
    <cellStyle name="Note 2 4 4 5 4 2" xfId="25139" xr:uid="{00000000-0005-0000-0000-0000F9380000}"/>
    <cellStyle name="Note 2 4 4 5 5" xfId="20652" xr:uid="{00000000-0005-0000-0000-0000FA380000}"/>
    <cellStyle name="Note 2 4 4 6" xfId="5715" xr:uid="{00000000-0005-0000-0000-0000FB380000}"/>
    <cellStyle name="Note 2 4 4 6 2" xfId="15950" xr:uid="{00000000-0005-0000-0000-0000FC380000}"/>
    <cellStyle name="Note 2 4 4 6 2 2" xfId="30782" xr:uid="{00000000-0005-0000-0000-0000FD380000}"/>
    <cellStyle name="Note 2 4 4 6 3" xfId="22379" xr:uid="{00000000-0005-0000-0000-0000FE380000}"/>
    <cellStyle name="Note 2 4 4 7" xfId="11970" xr:uid="{00000000-0005-0000-0000-0000FF380000}"/>
    <cellStyle name="Note 2 4 4 7 2" xfId="26802" xr:uid="{00000000-0005-0000-0000-000000390000}"/>
    <cellStyle name="Note 2 4 4 8" xfId="9629" xr:uid="{00000000-0005-0000-0000-000001390000}"/>
    <cellStyle name="Note 2 4 4 8 2" xfId="19930" xr:uid="{00000000-0005-0000-0000-000002390000}"/>
    <cellStyle name="Note 2 4 5" xfId="1613" xr:uid="{00000000-0005-0000-0000-000003390000}"/>
    <cellStyle name="Note 2 4 5 2" xfId="2110" xr:uid="{00000000-0005-0000-0000-000004390000}"/>
    <cellStyle name="Note 2 4 5 2 2" xfId="3786" xr:uid="{00000000-0005-0000-0000-000005390000}"/>
    <cellStyle name="Note 2 4 5 2 2 2" xfId="7841" xr:uid="{00000000-0005-0000-0000-000006390000}"/>
    <cellStyle name="Note 2 4 5 2 2 2 2" xfId="17363" xr:uid="{00000000-0005-0000-0000-000007390000}"/>
    <cellStyle name="Note 2 4 5 2 2 2 2 2" xfId="32195" xr:uid="{00000000-0005-0000-0000-000008390000}"/>
    <cellStyle name="Note 2 4 5 2 2 2 3" xfId="23697" xr:uid="{00000000-0005-0000-0000-000009390000}"/>
    <cellStyle name="Note 2 4 5 2 2 3" xfId="14121" xr:uid="{00000000-0005-0000-0000-00000A390000}"/>
    <cellStyle name="Note 2 4 5 2 2 3 2" xfId="28953" xr:uid="{00000000-0005-0000-0000-00000B390000}"/>
    <cellStyle name="Note 2 4 5 2 2 4" xfId="10980" xr:uid="{00000000-0005-0000-0000-00000C390000}"/>
    <cellStyle name="Note 2 4 5 2 2 4 2" xfId="25812" xr:uid="{00000000-0005-0000-0000-00000D390000}"/>
    <cellStyle name="Note 2 4 5 2 2 5" xfId="21349" xr:uid="{00000000-0005-0000-0000-00000E390000}"/>
    <cellStyle name="Note 2 4 5 2 3" xfId="5078" xr:uid="{00000000-0005-0000-0000-00000F390000}"/>
    <cellStyle name="Note 2 4 5 2 3 2" xfId="9117" xr:uid="{00000000-0005-0000-0000-000010390000}"/>
    <cellStyle name="Note 2 4 5 2 3 2 2" xfId="18045" xr:uid="{00000000-0005-0000-0000-000011390000}"/>
    <cellStyle name="Note 2 4 5 2 3 2 2 2" xfId="32877" xr:uid="{00000000-0005-0000-0000-000012390000}"/>
    <cellStyle name="Note 2 4 5 2 3 2 3" xfId="24519" xr:uid="{00000000-0005-0000-0000-000013390000}"/>
    <cellStyle name="Note 2 4 5 2 3 3" xfId="15398" xr:uid="{00000000-0005-0000-0000-000014390000}"/>
    <cellStyle name="Note 2 4 5 2 3 3 2" xfId="30230" xr:uid="{00000000-0005-0000-0000-000015390000}"/>
    <cellStyle name="Note 2 4 5 2 3 4" xfId="11644" xr:uid="{00000000-0005-0000-0000-000016390000}"/>
    <cellStyle name="Note 2 4 5 2 3 4 2" xfId="26476" xr:uid="{00000000-0005-0000-0000-000017390000}"/>
    <cellStyle name="Note 2 4 5 2 3 5" xfId="22033" xr:uid="{00000000-0005-0000-0000-000018390000}"/>
    <cellStyle name="Note 2 4 5 2 4" xfId="3068" xr:uid="{00000000-0005-0000-0000-000019390000}"/>
    <cellStyle name="Note 2 4 5 2 4 2" xfId="7138" xr:uid="{00000000-0005-0000-0000-00001A390000}"/>
    <cellStyle name="Note 2 4 5 2 4 2 2" xfId="16935" xr:uid="{00000000-0005-0000-0000-00001B390000}"/>
    <cellStyle name="Note 2 4 5 2 4 2 2 2" xfId="31767" xr:uid="{00000000-0005-0000-0000-00001C390000}"/>
    <cellStyle name="Note 2 4 5 2 4 2 3" xfId="23246" xr:uid="{00000000-0005-0000-0000-00001D390000}"/>
    <cellStyle name="Note 2 4 5 2 4 3" xfId="13406" xr:uid="{00000000-0005-0000-0000-00001E390000}"/>
    <cellStyle name="Note 2 4 5 2 4 3 2" xfId="28238" xr:uid="{00000000-0005-0000-0000-00001F390000}"/>
    <cellStyle name="Note 2 4 5 2 4 4" xfId="10592" xr:uid="{00000000-0005-0000-0000-000020390000}"/>
    <cellStyle name="Note 2 4 5 2 4 4 2" xfId="25424" xr:uid="{00000000-0005-0000-0000-000021390000}"/>
    <cellStyle name="Note 2 4 5 2 4 5" xfId="20930" xr:uid="{00000000-0005-0000-0000-000022390000}"/>
    <cellStyle name="Note 2 4 5 2 5" xfId="6230" xr:uid="{00000000-0005-0000-0000-000023390000}"/>
    <cellStyle name="Note 2 4 5 2 5 2" xfId="16415" xr:uid="{00000000-0005-0000-0000-000024390000}"/>
    <cellStyle name="Note 2 4 5 2 5 2 2" xfId="31247" xr:uid="{00000000-0005-0000-0000-000025390000}"/>
    <cellStyle name="Note 2 4 5 2 5 3" xfId="22697" xr:uid="{00000000-0005-0000-0000-000026390000}"/>
    <cellStyle name="Note 2 4 5 2 6" xfId="12485" xr:uid="{00000000-0005-0000-0000-000027390000}"/>
    <cellStyle name="Note 2 4 5 2 6 2" xfId="27317" xr:uid="{00000000-0005-0000-0000-000028390000}"/>
    <cellStyle name="Note 2 4 5 2 7" xfId="10067" xr:uid="{00000000-0005-0000-0000-000029390000}"/>
    <cellStyle name="Note 2 4 5 2 7 2" xfId="24899" xr:uid="{00000000-0005-0000-0000-00002A390000}"/>
    <cellStyle name="Note 2 4 5 2 8" xfId="20376" xr:uid="{00000000-0005-0000-0000-00002B390000}"/>
    <cellStyle name="Note 2 4 5 3" xfId="3332" xr:uid="{00000000-0005-0000-0000-00002C390000}"/>
    <cellStyle name="Note 2 4 5 3 2" xfId="7395" xr:uid="{00000000-0005-0000-0000-00002D390000}"/>
    <cellStyle name="Note 2 4 5 3 2 2" xfId="17128" xr:uid="{00000000-0005-0000-0000-00002E390000}"/>
    <cellStyle name="Note 2 4 5 3 2 2 2" xfId="31960" xr:uid="{00000000-0005-0000-0000-00002F390000}"/>
    <cellStyle name="Note 2 4 5 3 2 3" xfId="23403" xr:uid="{00000000-0005-0000-0000-000030390000}"/>
    <cellStyle name="Note 2 4 5 3 3" xfId="13669" xr:uid="{00000000-0005-0000-0000-000031390000}"/>
    <cellStyle name="Note 2 4 5 3 3 2" xfId="28501" xr:uid="{00000000-0005-0000-0000-000032390000}"/>
    <cellStyle name="Note 2 4 5 3 4" xfId="10749" xr:uid="{00000000-0005-0000-0000-000033390000}"/>
    <cellStyle name="Note 2 4 5 3 4 2" xfId="25581" xr:uid="{00000000-0005-0000-0000-000034390000}"/>
    <cellStyle name="Note 2 4 5 3 5" xfId="21091" xr:uid="{00000000-0005-0000-0000-000035390000}"/>
    <cellStyle name="Note 2 4 5 4" xfId="4658" xr:uid="{00000000-0005-0000-0000-000036390000}"/>
    <cellStyle name="Note 2 4 5 4 2" xfId="8697" xr:uid="{00000000-0005-0000-0000-000037390000}"/>
    <cellStyle name="Note 2 4 5 4 2 2" xfId="17805" xr:uid="{00000000-0005-0000-0000-000038390000}"/>
    <cellStyle name="Note 2 4 5 4 2 2 2" xfId="32637" xr:uid="{00000000-0005-0000-0000-000039390000}"/>
    <cellStyle name="Note 2 4 5 4 2 3" xfId="24259" xr:uid="{00000000-0005-0000-0000-00003A390000}"/>
    <cellStyle name="Note 2 4 5 4 3" xfId="14983" xr:uid="{00000000-0005-0000-0000-00003B390000}"/>
    <cellStyle name="Note 2 4 5 4 3 2" xfId="29815" xr:uid="{00000000-0005-0000-0000-00003C390000}"/>
    <cellStyle name="Note 2 4 5 4 4" xfId="11409" xr:uid="{00000000-0005-0000-0000-00003D390000}"/>
    <cellStyle name="Note 2 4 5 4 4 2" xfId="26241" xr:uid="{00000000-0005-0000-0000-00003E390000}"/>
    <cellStyle name="Note 2 4 5 4 5" xfId="21803" xr:uid="{00000000-0005-0000-0000-00003F390000}"/>
    <cellStyle name="Note 2 4 5 5" xfId="2648" xr:uid="{00000000-0005-0000-0000-000040390000}"/>
    <cellStyle name="Note 2 4 5 5 2" xfId="6744" xr:uid="{00000000-0005-0000-0000-000041390000}"/>
    <cellStyle name="Note 2 4 5 5 2 2" xfId="16700" xr:uid="{00000000-0005-0000-0000-000042390000}"/>
    <cellStyle name="Note 2 4 5 5 2 2 2" xfId="31532" xr:uid="{00000000-0005-0000-0000-000043390000}"/>
    <cellStyle name="Note 2 4 5 5 2 3" xfId="23016" xr:uid="{00000000-0005-0000-0000-000044390000}"/>
    <cellStyle name="Note 2 4 5 5 3" xfId="12986" xr:uid="{00000000-0005-0000-0000-000045390000}"/>
    <cellStyle name="Note 2 4 5 5 3 2" xfId="27818" xr:uid="{00000000-0005-0000-0000-000046390000}"/>
    <cellStyle name="Note 2 4 5 5 4" xfId="10352" xr:uid="{00000000-0005-0000-0000-000047390000}"/>
    <cellStyle name="Note 2 4 5 5 4 2" xfId="25184" xr:uid="{00000000-0005-0000-0000-000048390000}"/>
    <cellStyle name="Note 2 4 5 5 5" xfId="20670" xr:uid="{00000000-0005-0000-0000-000049390000}"/>
    <cellStyle name="Note 2 4 5 6" xfId="5760" xr:uid="{00000000-0005-0000-0000-00004A390000}"/>
    <cellStyle name="Note 2 4 5 6 2" xfId="15994" xr:uid="{00000000-0005-0000-0000-00004B390000}"/>
    <cellStyle name="Note 2 4 5 6 2 2" xfId="30826" xr:uid="{00000000-0005-0000-0000-00004C390000}"/>
    <cellStyle name="Note 2 4 5 6 3" xfId="22391" xr:uid="{00000000-0005-0000-0000-00004D390000}"/>
    <cellStyle name="Note 2 4 5 7" xfId="12014" xr:uid="{00000000-0005-0000-0000-00004E390000}"/>
    <cellStyle name="Note 2 4 5 7 2" xfId="26846" xr:uid="{00000000-0005-0000-0000-00004F390000}"/>
    <cellStyle name="Note 2 4 5 8" xfId="9674" xr:uid="{00000000-0005-0000-0000-000050390000}"/>
    <cellStyle name="Note 2 4 5 8 2" xfId="19974" xr:uid="{00000000-0005-0000-0000-000051390000}"/>
    <cellStyle name="Note 2 4 6" xfId="1764" xr:uid="{00000000-0005-0000-0000-000052390000}"/>
    <cellStyle name="Note 2 4 6 2" xfId="3849" xr:uid="{00000000-0005-0000-0000-000053390000}"/>
    <cellStyle name="Note 2 4 6 2 2" xfId="7902" xr:uid="{00000000-0005-0000-0000-000054390000}"/>
    <cellStyle name="Note 2 4 6 2 2 2" xfId="17393" xr:uid="{00000000-0005-0000-0000-000055390000}"/>
    <cellStyle name="Note 2 4 6 2 2 2 2" xfId="32225" xr:uid="{00000000-0005-0000-0000-000056390000}"/>
    <cellStyle name="Note 2 4 6 2 2 3" xfId="23739" xr:uid="{00000000-0005-0000-0000-000057390000}"/>
    <cellStyle name="Note 2 4 6 2 3" xfId="14184" xr:uid="{00000000-0005-0000-0000-000058390000}"/>
    <cellStyle name="Note 2 4 6 2 3 2" xfId="29016" xr:uid="{00000000-0005-0000-0000-000059390000}"/>
    <cellStyle name="Note 2 4 6 2 4" xfId="11012" xr:uid="{00000000-0005-0000-0000-00005A390000}"/>
    <cellStyle name="Note 2 4 6 2 4 2" xfId="25844" xr:uid="{00000000-0005-0000-0000-00005B390000}"/>
    <cellStyle name="Note 2 4 6 2 5" xfId="21385" xr:uid="{00000000-0005-0000-0000-00005C390000}"/>
    <cellStyle name="Note 2 4 6 3" xfId="4742" xr:uid="{00000000-0005-0000-0000-00005D390000}"/>
    <cellStyle name="Note 2 4 6 3 2" xfId="8781" xr:uid="{00000000-0005-0000-0000-00005E390000}"/>
    <cellStyle name="Note 2 4 6 3 2 2" xfId="17853" xr:uid="{00000000-0005-0000-0000-00005F390000}"/>
    <cellStyle name="Note 2 4 6 3 2 2 2" xfId="32685" xr:uid="{00000000-0005-0000-0000-000060390000}"/>
    <cellStyle name="Note 2 4 6 3 2 3" xfId="24311" xr:uid="{00000000-0005-0000-0000-000061390000}"/>
    <cellStyle name="Note 2 4 6 3 3" xfId="15066" xr:uid="{00000000-0005-0000-0000-000062390000}"/>
    <cellStyle name="Note 2 4 6 3 3 2" xfId="29898" xr:uid="{00000000-0005-0000-0000-000063390000}"/>
    <cellStyle name="Note 2 4 6 3 4" xfId="11456" xr:uid="{00000000-0005-0000-0000-000064390000}"/>
    <cellStyle name="Note 2 4 6 3 4 2" xfId="26288" xr:uid="{00000000-0005-0000-0000-000065390000}"/>
    <cellStyle name="Note 2 4 6 3 5" xfId="21849" xr:uid="{00000000-0005-0000-0000-000066390000}"/>
    <cellStyle name="Note 2 4 6 4" xfId="2732" xr:uid="{00000000-0005-0000-0000-000067390000}"/>
    <cellStyle name="Note 2 4 6 4 2" xfId="6823" xr:uid="{00000000-0005-0000-0000-000068390000}"/>
    <cellStyle name="Note 2 4 6 4 2 2" xfId="16747" xr:uid="{00000000-0005-0000-0000-000069390000}"/>
    <cellStyle name="Note 2 4 6 4 2 2 2" xfId="31579" xr:uid="{00000000-0005-0000-0000-00006A390000}"/>
    <cellStyle name="Note 2 4 6 4 2 3" xfId="23062" xr:uid="{00000000-0005-0000-0000-00006B390000}"/>
    <cellStyle name="Note 2 4 6 4 3" xfId="13070" xr:uid="{00000000-0005-0000-0000-00006C390000}"/>
    <cellStyle name="Note 2 4 6 4 3 2" xfId="27902" xr:uid="{00000000-0005-0000-0000-00006D390000}"/>
    <cellStyle name="Note 2 4 6 4 4" xfId="10400" xr:uid="{00000000-0005-0000-0000-00006E390000}"/>
    <cellStyle name="Note 2 4 6 4 4 2" xfId="25232" xr:uid="{00000000-0005-0000-0000-00006F390000}"/>
    <cellStyle name="Note 2 4 6 4 5" xfId="20722" xr:uid="{00000000-0005-0000-0000-000070390000}"/>
    <cellStyle name="Note 2 4 6 5" xfId="5896" xr:uid="{00000000-0005-0000-0000-000071390000}"/>
    <cellStyle name="Note 2 4 6 5 2" xfId="16088" xr:uid="{00000000-0005-0000-0000-000072390000}"/>
    <cellStyle name="Note 2 4 6 5 2 2" xfId="30920" xr:uid="{00000000-0005-0000-0000-000073390000}"/>
    <cellStyle name="Note 2 4 6 5 3" xfId="22493" xr:uid="{00000000-0005-0000-0000-000074390000}"/>
    <cellStyle name="Note 2 4 6 6" xfId="12158" xr:uid="{00000000-0005-0000-0000-000075390000}"/>
    <cellStyle name="Note 2 4 6 6 2" xfId="26990" xr:uid="{00000000-0005-0000-0000-000076390000}"/>
    <cellStyle name="Note 2 4 6 7" xfId="9754" xr:uid="{00000000-0005-0000-0000-000077390000}"/>
    <cellStyle name="Note 2 4 6 7 2" xfId="24711" xr:uid="{00000000-0005-0000-0000-000078390000}"/>
    <cellStyle name="Note 2 4 6 8" xfId="20301" xr:uid="{00000000-0005-0000-0000-000079390000}"/>
    <cellStyle name="Note 2 4 7" xfId="2202" xr:uid="{00000000-0005-0000-0000-00007A390000}"/>
    <cellStyle name="Note 2 4 7 2" xfId="3124" xr:uid="{00000000-0005-0000-0000-00007B390000}"/>
    <cellStyle name="Note 2 4 7 2 2" xfId="7188" xr:uid="{00000000-0005-0000-0000-00007C390000}"/>
    <cellStyle name="Note 2 4 7 2 2 2" xfId="16981" xr:uid="{00000000-0005-0000-0000-00007D390000}"/>
    <cellStyle name="Note 2 4 7 2 2 2 2" xfId="31813" xr:uid="{00000000-0005-0000-0000-00007E390000}"/>
    <cellStyle name="Note 2 4 7 2 2 3" xfId="23261" xr:uid="{00000000-0005-0000-0000-00007F390000}"/>
    <cellStyle name="Note 2 4 7 2 3" xfId="13462" xr:uid="{00000000-0005-0000-0000-000080390000}"/>
    <cellStyle name="Note 2 4 7 2 3 2" xfId="28294" xr:uid="{00000000-0005-0000-0000-000081390000}"/>
    <cellStyle name="Note 2 4 7 2 4" xfId="10639" xr:uid="{00000000-0005-0000-0000-000082390000}"/>
    <cellStyle name="Note 2 4 7 2 4 2" xfId="25471" xr:uid="{00000000-0005-0000-0000-000083390000}"/>
    <cellStyle name="Note 2 4 7 2 5" xfId="20952" xr:uid="{00000000-0005-0000-0000-000084390000}"/>
    <cellStyle name="Note 2 4 7 3" xfId="5170" xr:uid="{00000000-0005-0000-0000-000085390000}"/>
    <cellStyle name="Note 2 4 7 3 2" xfId="9209" xr:uid="{00000000-0005-0000-0000-000086390000}"/>
    <cellStyle name="Note 2 4 7 3 2 2" xfId="18132" xr:uid="{00000000-0005-0000-0000-000087390000}"/>
    <cellStyle name="Note 2 4 7 3 2 2 2" xfId="32964" xr:uid="{00000000-0005-0000-0000-000088390000}"/>
    <cellStyle name="Note 2 4 7 3 2 3" xfId="24547" xr:uid="{00000000-0005-0000-0000-000089390000}"/>
    <cellStyle name="Note 2 4 7 3 3" xfId="15488" xr:uid="{00000000-0005-0000-0000-00008A390000}"/>
    <cellStyle name="Note 2 4 7 3 3 2" xfId="30320" xr:uid="{00000000-0005-0000-0000-00008B390000}"/>
    <cellStyle name="Note 2 4 7 3 4" xfId="11729" xr:uid="{00000000-0005-0000-0000-00008C390000}"/>
    <cellStyle name="Note 2 4 7 3 4 2" xfId="26561" xr:uid="{00000000-0005-0000-0000-00008D390000}"/>
    <cellStyle name="Note 2 4 7 3 5" xfId="22054" xr:uid="{00000000-0005-0000-0000-00008E390000}"/>
    <cellStyle name="Note 2 4 7 4" xfId="4200" xr:uid="{00000000-0005-0000-0000-00008F390000}"/>
    <cellStyle name="Note 2 4 7 4 2" xfId="8241" xr:uid="{00000000-0005-0000-0000-000090390000}"/>
    <cellStyle name="Note 2 4 7 4 2 2" xfId="17588" xr:uid="{00000000-0005-0000-0000-000091390000}"/>
    <cellStyle name="Note 2 4 7 4 2 2 2" xfId="32420" xr:uid="{00000000-0005-0000-0000-000092390000}"/>
    <cellStyle name="Note 2 4 7 4 2 3" xfId="23936" xr:uid="{00000000-0005-0000-0000-000093390000}"/>
    <cellStyle name="Note 2 4 7 4 3" xfId="14532" xr:uid="{00000000-0005-0000-0000-000094390000}"/>
    <cellStyle name="Note 2 4 7 4 3 2" xfId="29364" xr:uid="{00000000-0005-0000-0000-000095390000}"/>
    <cellStyle name="Note 2 4 7 4 4" xfId="11208" xr:uid="{00000000-0005-0000-0000-000096390000}"/>
    <cellStyle name="Note 2 4 7 4 4 2" xfId="26040" xr:uid="{00000000-0005-0000-0000-000097390000}"/>
    <cellStyle name="Note 2 4 7 4 5" xfId="21561" xr:uid="{00000000-0005-0000-0000-000098390000}"/>
    <cellStyle name="Note 2 4 7 5" xfId="6316" xr:uid="{00000000-0005-0000-0000-000099390000}"/>
    <cellStyle name="Note 2 4 7 5 2" xfId="16500" xr:uid="{00000000-0005-0000-0000-00009A390000}"/>
    <cellStyle name="Note 2 4 7 5 2 2" xfId="31332" xr:uid="{00000000-0005-0000-0000-00009B390000}"/>
    <cellStyle name="Note 2 4 7 5 3" xfId="22718" xr:uid="{00000000-0005-0000-0000-00009C390000}"/>
    <cellStyle name="Note 2 4 7 6" xfId="12570" xr:uid="{00000000-0005-0000-0000-00009D390000}"/>
    <cellStyle name="Note 2 4 7 6 2" xfId="27402" xr:uid="{00000000-0005-0000-0000-00009E390000}"/>
    <cellStyle name="Note 2 4 7 7" xfId="10152" xr:uid="{00000000-0005-0000-0000-00009F390000}"/>
    <cellStyle name="Note 2 4 7 7 2" xfId="24984" xr:uid="{00000000-0005-0000-0000-0000A0390000}"/>
    <cellStyle name="Note 2 4 7 8" xfId="20397" xr:uid="{00000000-0005-0000-0000-0000A1390000}"/>
    <cellStyle name="Note 2 4 8" xfId="3275" xr:uid="{00000000-0005-0000-0000-0000A2390000}"/>
    <cellStyle name="Note 2 4 8 2" xfId="7339" xr:uid="{00000000-0005-0000-0000-0000A3390000}"/>
    <cellStyle name="Note 2 4 8 2 2" xfId="17083" xr:uid="{00000000-0005-0000-0000-0000A4390000}"/>
    <cellStyle name="Note 2 4 8 2 2 2" xfId="31915" xr:uid="{00000000-0005-0000-0000-0000A5390000}"/>
    <cellStyle name="Note 2 4 8 2 3" xfId="23370" xr:uid="{00000000-0005-0000-0000-0000A6390000}"/>
    <cellStyle name="Note 2 4 8 3" xfId="13612" xr:uid="{00000000-0005-0000-0000-0000A7390000}"/>
    <cellStyle name="Note 2 4 8 3 2" xfId="28444" xr:uid="{00000000-0005-0000-0000-0000A8390000}"/>
    <cellStyle name="Note 2 4 8 4" xfId="10711" xr:uid="{00000000-0005-0000-0000-0000A9390000}"/>
    <cellStyle name="Note 2 4 8 4 2" xfId="25543" xr:uid="{00000000-0005-0000-0000-0000AA390000}"/>
    <cellStyle name="Note 2 4 8 5" xfId="21057" xr:uid="{00000000-0005-0000-0000-0000AB390000}"/>
    <cellStyle name="Note 2 4 9" xfId="3193" xr:uid="{00000000-0005-0000-0000-0000AC390000}"/>
    <cellStyle name="Note 2 4 9 2" xfId="7257" xr:uid="{00000000-0005-0000-0000-0000AD390000}"/>
    <cellStyle name="Note 2 4 9 2 2" xfId="17027" xr:uid="{00000000-0005-0000-0000-0000AE390000}"/>
    <cellStyle name="Note 2 4 9 2 2 2" xfId="31859" xr:uid="{00000000-0005-0000-0000-0000AF390000}"/>
    <cellStyle name="Note 2 4 9 2 3" xfId="23310" xr:uid="{00000000-0005-0000-0000-0000B0390000}"/>
    <cellStyle name="Note 2 4 9 3" xfId="13531" xr:uid="{00000000-0005-0000-0000-0000B1390000}"/>
    <cellStyle name="Note 2 4 9 3 2" xfId="28363" xr:uid="{00000000-0005-0000-0000-0000B2390000}"/>
    <cellStyle name="Note 2 4 9 4" xfId="10672" xr:uid="{00000000-0005-0000-0000-0000B3390000}"/>
    <cellStyle name="Note 2 4 9 4 2" xfId="25504" xr:uid="{00000000-0005-0000-0000-0000B4390000}"/>
    <cellStyle name="Note 2 4 9 5" xfId="21000" xr:uid="{00000000-0005-0000-0000-0000B5390000}"/>
    <cellStyle name="Note 2 5" xfId="1220" xr:uid="{00000000-0005-0000-0000-0000B6390000}"/>
    <cellStyle name="Note 2 5 10" xfId="2306" xr:uid="{00000000-0005-0000-0000-0000B7390000}"/>
    <cellStyle name="Note 2 5 10 2" xfId="6418" xr:uid="{00000000-0005-0000-0000-0000B8390000}"/>
    <cellStyle name="Note 2 5 10 2 2" xfId="16511" xr:uid="{00000000-0005-0000-0000-0000B9390000}"/>
    <cellStyle name="Note 2 5 10 2 2 2" xfId="31343" xr:uid="{00000000-0005-0000-0000-0000BA390000}"/>
    <cellStyle name="Note 2 5 10 2 3" xfId="22820" xr:uid="{00000000-0005-0000-0000-0000BB390000}"/>
    <cellStyle name="Note 2 5 10 3" xfId="12646" xr:uid="{00000000-0005-0000-0000-0000BC390000}"/>
    <cellStyle name="Note 2 5 10 3 2" xfId="27478" xr:uid="{00000000-0005-0000-0000-0000BD390000}"/>
    <cellStyle name="Note 2 5 10 4" xfId="10162" xr:uid="{00000000-0005-0000-0000-0000BE390000}"/>
    <cellStyle name="Note 2 5 10 4 2" xfId="24994" xr:uid="{00000000-0005-0000-0000-0000BF390000}"/>
    <cellStyle name="Note 2 5 10 5" xfId="20469" xr:uid="{00000000-0005-0000-0000-0000C0390000}"/>
    <cellStyle name="Note 2 5 11" xfId="5269" xr:uid="{00000000-0005-0000-0000-0000C1390000}"/>
    <cellStyle name="Note 2 5 11 2" xfId="9277" xr:uid="{00000000-0005-0000-0000-0000C2390000}"/>
    <cellStyle name="Note 2 5 11 2 2" xfId="18144" xr:uid="{00000000-0005-0000-0000-0000C3390000}"/>
    <cellStyle name="Note 2 5 11 2 2 2" xfId="32976" xr:uid="{00000000-0005-0000-0000-0000C4390000}"/>
    <cellStyle name="Note 2 5 11 2 3" xfId="24615" xr:uid="{00000000-0005-0000-0000-0000C5390000}"/>
    <cellStyle name="Note 2 5 11 3" xfId="15585" xr:uid="{00000000-0005-0000-0000-0000C6390000}"/>
    <cellStyle name="Note 2 5 11 3 2" xfId="30417" xr:uid="{00000000-0005-0000-0000-0000C7390000}"/>
    <cellStyle name="Note 2 5 11 4" xfId="22126" xr:uid="{00000000-0005-0000-0000-0000C8390000}"/>
    <cellStyle name="Note 2 5 12" xfId="5427" xr:uid="{00000000-0005-0000-0000-0000C9390000}"/>
    <cellStyle name="Note 2 5 12 2" xfId="15663" xr:uid="{00000000-0005-0000-0000-0000CA390000}"/>
    <cellStyle name="Note 2 5 12 2 2" xfId="30495" xr:uid="{00000000-0005-0000-0000-0000CB390000}"/>
    <cellStyle name="Note 2 5 12 3" xfId="22188" xr:uid="{00000000-0005-0000-0000-0000CC390000}"/>
    <cellStyle name="Note 2 5 13" xfId="9364" xr:uid="{00000000-0005-0000-0000-0000CD390000}"/>
    <cellStyle name="Note 2 5 13 2" xfId="24670" xr:uid="{00000000-0005-0000-0000-0000CE390000}"/>
    <cellStyle name="Note 2 5 14" xfId="5353" xr:uid="{00000000-0005-0000-0000-0000CF390000}"/>
    <cellStyle name="Note 2 5 14 2" xfId="18227" xr:uid="{00000000-0005-0000-0000-0000D0390000}"/>
    <cellStyle name="Note 2 5 2" xfId="1339" xr:uid="{00000000-0005-0000-0000-0000D1390000}"/>
    <cellStyle name="Note 2 5 2 2" xfId="1843" xr:uid="{00000000-0005-0000-0000-0000D2390000}"/>
    <cellStyle name="Note 2 5 2 2 2" xfId="3811" xr:uid="{00000000-0005-0000-0000-0000D3390000}"/>
    <cellStyle name="Note 2 5 2 2 2 2" xfId="7865" xr:uid="{00000000-0005-0000-0000-0000D4390000}"/>
    <cellStyle name="Note 2 5 2 2 2 2 2" xfId="17378" xr:uid="{00000000-0005-0000-0000-0000D5390000}"/>
    <cellStyle name="Note 2 5 2 2 2 2 2 2" xfId="32210" xr:uid="{00000000-0005-0000-0000-0000D6390000}"/>
    <cellStyle name="Note 2 5 2 2 2 2 3" xfId="23713" xr:uid="{00000000-0005-0000-0000-0000D7390000}"/>
    <cellStyle name="Note 2 5 2 2 2 3" xfId="14146" xr:uid="{00000000-0005-0000-0000-0000D8390000}"/>
    <cellStyle name="Note 2 5 2 2 2 3 2" xfId="28978" xr:uid="{00000000-0005-0000-0000-0000D9390000}"/>
    <cellStyle name="Note 2 5 2 2 2 4" xfId="10996" xr:uid="{00000000-0005-0000-0000-0000DA390000}"/>
    <cellStyle name="Note 2 5 2 2 2 4 2" xfId="25828" xr:uid="{00000000-0005-0000-0000-0000DB390000}"/>
    <cellStyle name="Note 2 5 2 2 2 5" xfId="21365" xr:uid="{00000000-0005-0000-0000-0000DC390000}"/>
    <cellStyle name="Note 2 5 2 2 3" xfId="4821" xr:uid="{00000000-0005-0000-0000-0000DD390000}"/>
    <cellStyle name="Note 2 5 2 2 3 2" xfId="8860" xr:uid="{00000000-0005-0000-0000-0000DE390000}"/>
    <cellStyle name="Note 2 5 2 2 3 2 2" xfId="17901" xr:uid="{00000000-0005-0000-0000-0000DF390000}"/>
    <cellStyle name="Note 2 5 2 2 3 2 2 2" xfId="32733" xr:uid="{00000000-0005-0000-0000-0000E0390000}"/>
    <cellStyle name="Note 2 5 2 2 3 2 3" xfId="24358" xr:uid="{00000000-0005-0000-0000-0000E1390000}"/>
    <cellStyle name="Note 2 5 2 2 3 3" xfId="15145" xr:uid="{00000000-0005-0000-0000-0000E2390000}"/>
    <cellStyle name="Note 2 5 2 2 3 3 2" xfId="29977" xr:uid="{00000000-0005-0000-0000-0000E3390000}"/>
    <cellStyle name="Note 2 5 2 2 3 4" xfId="11504" xr:uid="{00000000-0005-0000-0000-0000E4390000}"/>
    <cellStyle name="Note 2 5 2 2 3 4 2" xfId="26336" xr:uid="{00000000-0005-0000-0000-0000E5390000}"/>
    <cellStyle name="Note 2 5 2 2 3 5" xfId="21896" xr:uid="{00000000-0005-0000-0000-0000E6390000}"/>
    <cellStyle name="Note 2 5 2 2 4" xfId="2811" xr:uid="{00000000-0005-0000-0000-0000E7390000}"/>
    <cellStyle name="Note 2 5 2 2 4 2" xfId="6902" xr:uid="{00000000-0005-0000-0000-0000E8390000}"/>
    <cellStyle name="Note 2 5 2 2 4 2 2" xfId="16795" xr:uid="{00000000-0005-0000-0000-0000E9390000}"/>
    <cellStyle name="Note 2 5 2 2 4 2 2 2" xfId="31627" xr:uid="{00000000-0005-0000-0000-0000EA390000}"/>
    <cellStyle name="Note 2 5 2 2 4 2 3" xfId="23109" xr:uid="{00000000-0005-0000-0000-0000EB390000}"/>
    <cellStyle name="Note 2 5 2 2 4 3" xfId="13149" xr:uid="{00000000-0005-0000-0000-0000EC390000}"/>
    <cellStyle name="Note 2 5 2 2 4 3 2" xfId="27981" xr:uid="{00000000-0005-0000-0000-0000ED390000}"/>
    <cellStyle name="Note 2 5 2 2 4 4" xfId="10448" xr:uid="{00000000-0005-0000-0000-0000EE390000}"/>
    <cellStyle name="Note 2 5 2 2 4 4 2" xfId="25280" xr:uid="{00000000-0005-0000-0000-0000EF390000}"/>
    <cellStyle name="Note 2 5 2 2 4 5" xfId="20769" xr:uid="{00000000-0005-0000-0000-0000F0390000}"/>
    <cellStyle name="Note 2 5 2 2 5" xfId="5975" xr:uid="{00000000-0005-0000-0000-0000F1390000}"/>
    <cellStyle name="Note 2 5 2 2 5 2" xfId="16167" xr:uid="{00000000-0005-0000-0000-0000F2390000}"/>
    <cellStyle name="Note 2 5 2 2 5 2 2" xfId="30999" xr:uid="{00000000-0005-0000-0000-0000F3390000}"/>
    <cellStyle name="Note 2 5 2 2 5 3" xfId="22540" xr:uid="{00000000-0005-0000-0000-0000F4390000}"/>
    <cellStyle name="Note 2 5 2 2 6" xfId="12237" xr:uid="{00000000-0005-0000-0000-0000F5390000}"/>
    <cellStyle name="Note 2 5 2 2 6 2" xfId="27069" xr:uid="{00000000-0005-0000-0000-0000F6390000}"/>
    <cellStyle name="Note 2 5 2 2 7" xfId="9833" xr:uid="{00000000-0005-0000-0000-0000F7390000}"/>
    <cellStyle name="Note 2 5 2 2 7 2" xfId="24759" xr:uid="{00000000-0005-0000-0000-0000F8390000}"/>
    <cellStyle name="Note 2 5 2 2 8" xfId="20317" xr:uid="{00000000-0005-0000-0000-0000F9390000}"/>
    <cellStyle name="Note 2 5 2 3" xfId="4051" xr:uid="{00000000-0005-0000-0000-0000FA390000}"/>
    <cellStyle name="Note 2 5 2 3 2" xfId="8098" xr:uid="{00000000-0005-0000-0000-0000FB390000}"/>
    <cellStyle name="Note 2 5 2 3 2 2" xfId="17493" xr:uid="{00000000-0005-0000-0000-0000FC390000}"/>
    <cellStyle name="Note 2 5 2 3 2 2 2" xfId="32325" xr:uid="{00000000-0005-0000-0000-0000FD390000}"/>
    <cellStyle name="Note 2 5 2 3 2 3" xfId="23860" xr:uid="{00000000-0005-0000-0000-0000FE390000}"/>
    <cellStyle name="Note 2 5 2 3 3" xfId="14383" xr:uid="{00000000-0005-0000-0000-0000FF390000}"/>
    <cellStyle name="Note 2 5 2 3 3 2" xfId="29215" xr:uid="{00000000-0005-0000-0000-0000003A0000}"/>
    <cellStyle name="Note 2 5 2 3 4" xfId="11109" xr:uid="{00000000-0005-0000-0000-0000013A0000}"/>
    <cellStyle name="Note 2 5 2 3 4 2" xfId="25941" xr:uid="{00000000-0005-0000-0000-0000023A0000}"/>
    <cellStyle name="Note 2 5 2 3 5" xfId="21494" xr:uid="{00000000-0005-0000-0000-0000033A0000}"/>
    <cellStyle name="Note 2 5 2 4" xfId="4401" xr:uid="{00000000-0005-0000-0000-0000043A0000}"/>
    <cellStyle name="Note 2 5 2 4 2" xfId="8440" xr:uid="{00000000-0005-0000-0000-0000053A0000}"/>
    <cellStyle name="Note 2 5 2 4 2 2" xfId="17661" xr:uid="{00000000-0005-0000-0000-0000063A0000}"/>
    <cellStyle name="Note 2 5 2 4 2 2 2" xfId="32493" xr:uid="{00000000-0005-0000-0000-0000073A0000}"/>
    <cellStyle name="Note 2 5 2 4 2 3" xfId="24098" xr:uid="{00000000-0005-0000-0000-0000083A0000}"/>
    <cellStyle name="Note 2 5 2 4 3" xfId="14730" xr:uid="{00000000-0005-0000-0000-0000093A0000}"/>
    <cellStyle name="Note 2 5 2 4 3 2" xfId="29562" xr:uid="{00000000-0005-0000-0000-00000A3A0000}"/>
    <cellStyle name="Note 2 5 2 4 4" xfId="11269" xr:uid="{00000000-0005-0000-0000-00000B3A0000}"/>
    <cellStyle name="Note 2 5 2 4 4 2" xfId="26101" xr:uid="{00000000-0005-0000-0000-00000C3A0000}"/>
    <cellStyle name="Note 2 5 2 4 5" xfId="21666" xr:uid="{00000000-0005-0000-0000-00000D3A0000}"/>
    <cellStyle name="Note 2 5 2 5" xfId="2391" xr:uid="{00000000-0005-0000-0000-00000E3A0000}"/>
    <cellStyle name="Note 2 5 2 5 2" xfId="6503" xr:uid="{00000000-0005-0000-0000-00000F3A0000}"/>
    <cellStyle name="Note 2 5 2 5 2 2" xfId="16559" xr:uid="{00000000-0005-0000-0000-0000103A0000}"/>
    <cellStyle name="Note 2 5 2 5 2 2 2" xfId="31391" xr:uid="{00000000-0005-0000-0000-0000113A0000}"/>
    <cellStyle name="Note 2 5 2 5 2 3" xfId="22873" xr:uid="{00000000-0005-0000-0000-0000123A0000}"/>
    <cellStyle name="Note 2 5 2 5 3" xfId="12730" xr:uid="{00000000-0005-0000-0000-0000133A0000}"/>
    <cellStyle name="Note 2 5 2 5 3 2" xfId="27562" xr:uid="{00000000-0005-0000-0000-0000143A0000}"/>
    <cellStyle name="Note 2 5 2 5 4" xfId="10209" xr:uid="{00000000-0005-0000-0000-0000153A0000}"/>
    <cellStyle name="Note 2 5 2 5 4 2" xfId="25041" xr:uid="{00000000-0005-0000-0000-0000163A0000}"/>
    <cellStyle name="Note 2 5 2 5 5" xfId="20515" xr:uid="{00000000-0005-0000-0000-0000173A0000}"/>
    <cellStyle name="Note 2 5 2 6" xfId="5516" xr:uid="{00000000-0005-0000-0000-0000183A0000}"/>
    <cellStyle name="Note 2 5 2 6 2" xfId="15751" xr:uid="{00000000-0005-0000-0000-0000193A0000}"/>
    <cellStyle name="Note 2 5 2 6 2 2" xfId="30583" xr:uid="{00000000-0005-0000-0000-00001A3A0000}"/>
    <cellStyle name="Note 2 5 2 6 3" xfId="22244" xr:uid="{00000000-0005-0000-0000-00001B3A0000}"/>
    <cellStyle name="Note 2 5 2 7" xfId="11766" xr:uid="{00000000-0005-0000-0000-00001C3A0000}"/>
    <cellStyle name="Note 2 5 2 7 2" xfId="26598" xr:uid="{00000000-0005-0000-0000-00001D3A0000}"/>
    <cellStyle name="Note 2 5 2 8" xfId="9437" xr:uid="{00000000-0005-0000-0000-00001E3A0000}"/>
    <cellStyle name="Note 2 5 2 8 2" xfId="19741" xr:uid="{00000000-0005-0000-0000-00001F3A0000}"/>
    <cellStyle name="Note 2 5 3" xfId="1509" xr:uid="{00000000-0005-0000-0000-0000203A0000}"/>
    <cellStyle name="Note 2 5 3 2" xfId="2006" xr:uid="{00000000-0005-0000-0000-0000213A0000}"/>
    <cellStyle name="Note 2 5 3 2 2" xfId="3656" xr:uid="{00000000-0005-0000-0000-0000223A0000}"/>
    <cellStyle name="Note 2 5 3 2 2 2" xfId="7715" xr:uid="{00000000-0005-0000-0000-0000233A0000}"/>
    <cellStyle name="Note 2 5 3 2 2 2 2" xfId="17304" xr:uid="{00000000-0005-0000-0000-0000243A0000}"/>
    <cellStyle name="Note 2 5 3 2 2 2 2 2" xfId="32136" xr:uid="{00000000-0005-0000-0000-0000253A0000}"/>
    <cellStyle name="Note 2 5 3 2 2 2 3" xfId="23612" xr:uid="{00000000-0005-0000-0000-0000263A0000}"/>
    <cellStyle name="Note 2 5 3 2 2 3" xfId="13991" xr:uid="{00000000-0005-0000-0000-0000273A0000}"/>
    <cellStyle name="Note 2 5 3 2 2 3 2" xfId="28823" xr:uid="{00000000-0005-0000-0000-0000283A0000}"/>
    <cellStyle name="Note 2 5 3 2 2 4" xfId="10920" xr:uid="{00000000-0005-0000-0000-0000293A0000}"/>
    <cellStyle name="Note 2 5 3 2 2 4 2" xfId="25752" xr:uid="{00000000-0005-0000-0000-00002A3A0000}"/>
    <cellStyle name="Note 2 5 3 2 2 5" xfId="21277" xr:uid="{00000000-0005-0000-0000-00002B3A0000}"/>
    <cellStyle name="Note 2 5 3 2 3" xfId="4974" xr:uid="{00000000-0005-0000-0000-00002C3A0000}"/>
    <cellStyle name="Note 2 5 3 2 3 2" xfId="9013" xr:uid="{00000000-0005-0000-0000-00002D3A0000}"/>
    <cellStyle name="Note 2 5 3 2 3 2 2" xfId="17951" xr:uid="{00000000-0005-0000-0000-00002E3A0000}"/>
    <cellStyle name="Note 2 5 3 2 3 2 2 2" xfId="32783" xr:uid="{00000000-0005-0000-0000-00002F3A0000}"/>
    <cellStyle name="Note 2 5 3 2 3 2 3" xfId="24479" xr:uid="{00000000-0005-0000-0000-0000303A0000}"/>
    <cellStyle name="Note 2 5 3 2 3 3" xfId="15296" xr:uid="{00000000-0005-0000-0000-0000313A0000}"/>
    <cellStyle name="Note 2 5 3 2 3 3 2" xfId="30128" xr:uid="{00000000-0005-0000-0000-0000323A0000}"/>
    <cellStyle name="Note 2 5 3 2 3 4" xfId="11552" xr:uid="{00000000-0005-0000-0000-0000333A0000}"/>
    <cellStyle name="Note 2 5 3 2 3 4 2" xfId="26384" xr:uid="{00000000-0005-0000-0000-0000343A0000}"/>
    <cellStyle name="Note 2 5 3 2 3 5" xfId="22005" xr:uid="{00000000-0005-0000-0000-0000353A0000}"/>
    <cellStyle name="Note 2 5 3 2 4" xfId="2964" xr:uid="{00000000-0005-0000-0000-0000363A0000}"/>
    <cellStyle name="Note 2 5 3 2 4 2" xfId="7044" xr:uid="{00000000-0005-0000-0000-0000373A0000}"/>
    <cellStyle name="Note 2 5 3 2 4 2 2" xfId="16843" xr:uid="{00000000-0005-0000-0000-0000383A0000}"/>
    <cellStyle name="Note 2 5 3 2 4 2 2 2" xfId="31675" xr:uid="{00000000-0005-0000-0000-0000393A0000}"/>
    <cellStyle name="Note 2 5 3 2 4 2 3" xfId="23218" xr:uid="{00000000-0005-0000-0000-00003A3A0000}"/>
    <cellStyle name="Note 2 5 3 2 4 3" xfId="13302" xr:uid="{00000000-0005-0000-0000-00003B3A0000}"/>
    <cellStyle name="Note 2 5 3 2 4 3 2" xfId="28134" xr:uid="{00000000-0005-0000-0000-00003C3A0000}"/>
    <cellStyle name="Note 2 5 3 2 4 4" xfId="10498" xr:uid="{00000000-0005-0000-0000-00003D3A0000}"/>
    <cellStyle name="Note 2 5 3 2 4 4 2" xfId="25330" xr:uid="{00000000-0005-0000-0000-00003E3A0000}"/>
    <cellStyle name="Note 2 5 3 2 4 5" xfId="20890" xr:uid="{00000000-0005-0000-0000-00003F3A0000}"/>
    <cellStyle name="Note 2 5 3 2 5" xfId="6136" xr:uid="{00000000-0005-0000-0000-0000403A0000}"/>
    <cellStyle name="Note 2 5 3 2 5 2" xfId="16323" xr:uid="{00000000-0005-0000-0000-0000413A0000}"/>
    <cellStyle name="Note 2 5 3 2 5 2 2" xfId="31155" xr:uid="{00000000-0005-0000-0000-0000423A0000}"/>
    <cellStyle name="Note 2 5 3 2 5 3" xfId="22669" xr:uid="{00000000-0005-0000-0000-0000433A0000}"/>
    <cellStyle name="Note 2 5 3 2 6" xfId="12393" xr:uid="{00000000-0005-0000-0000-0000443A0000}"/>
    <cellStyle name="Note 2 5 3 2 6 2" xfId="27225" xr:uid="{00000000-0005-0000-0000-0000453A0000}"/>
    <cellStyle name="Note 2 5 3 2 7" xfId="9975" xr:uid="{00000000-0005-0000-0000-0000463A0000}"/>
    <cellStyle name="Note 2 5 3 2 7 2" xfId="24807" xr:uid="{00000000-0005-0000-0000-0000473A0000}"/>
    <cellStyle name="Note 2 5 3 2 8" xfId="20348" xr:uid="{00000000-0005-0000-0000-0000483A0000}"/>
    <cellStyle name="Note 2 5 3 3" xfId="3153" xr:uid="{00000000-0005-0000-0000-0000493A0000}"/>
    <cellStyle name="Note 2 5 3 3 2" xfId="7217" xr:uid="{00000000-0005-0000-0000-00004A3A0000}"/>
    <cellStyle name="Note 2 5 3 3 2 2" xfId="16995" xr:uid="{00000000-0005-0000-0000-00004B3A0000}"/>
    <cellStyle name="Note 2 5 3 3 2 2 2" xfId="31827" xr:uid="{00000000-0005-0000-0000-00004C3A0000}"/>
    <cellStyle name="Note 2 5 3 3 2 3" xfId="23285" xr:uid="{00000000-0005-0000-0000-00004D3A0000}"/>
    <cellStyle name="Note 2 5 3 3 3" xfId="13491" xr:uid="{00000000-0005-0000-0000-00004E3A0000}"/>
    <cellStyle name="Note 2 5 3 3 3 2" xfId="28323" xr:uid="{00000000-0005-0000-0000-00004F3A0000}"/>
    <cellStyle name="Note 2 5 3 3 4" xfId="10647" xr:uid="{00000000-0005-0000-0000-0000503A0000}"/>
    <cellStyle name="Note 2 5 3 3 4 2" xfId="25479" xr:uid="{00000000-0005-0000-0000-0000513A0000}"/>
    <cellStyle name="Note 2 5 3 3 5" xfId="20976" xr:uid="{00000000-0005-0000-0000-0000523A0000}"/>
    <cellStyle name="Note 2 5 3 4" xfId="4554" xr:uid="{00000000-0005-0000-0000-0000533A0000}"/>
    <cellStyle name="Note 2 5 3 4 2" xfId="8593" xr:uid="{00000000-0005-0000-0000-0000543A0000}"/>
    <cellStyle name="Note 2 5 3 4 2 2" xfId="17711" xr:uid="{00000000-0005-0000-0000-0000553A0000}"/>
    <cellStyle name="Note 2 5 3 4 2 2 2" xfId="32543" xr:uid="{00000000-0005-0000-0000-0000563A0000}"/>
    <cellStyle name="Note 2 5 3 4 2 3" xfId="24219" xr:uid="{00000000-0005-0000-0000-0000573A0000}"/>
    <cellStyle name="Note 2 5 3 4 3" xfId="14881" xr:uid="{00000000-0005-0000-0000-0000583A0000}"/>
    <cellStyle name="Note 2 5 3 4 3 2" xfId="29713" xr:uid="{00000000-0005-0000-0000-0000593A0000}"/>
    <cellStyle name="Note 2 5 3 4 4" xfId="11317" xr:uid="{00000000-0005-0000-0000-00005A3A0000}"/>
    <cellStyle name="Note 2 5 3 4 4 2" xfId="26149" xr:uid="{00000000-0005-0000-0000-00005B3A0000}"/>
    <cellStyle name="Note 2 5 3 4 5" xfId="21775" xr:uid="{00000000-0005-0000-0000-00005C3A0000}"/>
    <cellStyle name="Note 2 5 3 5" xfId="2544" xr:uid="{00000000-0005-0000-0000-00005D3A0000}"/>
    <cellStyle name="Note 2 5 3 5 2" xfId="6650" xr:uid="{00000000-0005-0000-0000-00005E3A0000}"/>
    <cellStyle name="Note 2 5 3 5 2 2" xfId="16608" xr:uid="{00000000-0005-0000-0000-00005F3A0000}"/>
    <cellStyle name="Note 2 5 3 5 2 2 2" xfId="31440" xr:uid="{00000000-0005-0000-0000-0000603A0000}"/>
    <cellStyle name="Note 2 5 3 5 2 3" xfId="22988" xr:uid="{00000000-0005-0000-0000-0000613A0000}"/>
    <cellStyle name="Note 2 5 3 5 3" xfId="12882" xr:uid="{00000000-0005-0000-0000-0000623A0000}"/>
    <cellStyle name="Note 2 5 3 5 3 2" xfId="27714" xr:uid="{00000000-0005-0000-0000-0000633A0000}"/>
    <cellStyle name="Note 2 5 3 5 4" xfId="10258" xr:uid="{00000000-0005-0000-0000-0000643A0000}"/>
    <cellStyle name="Note 2 5 3 5 4 2" xfId="25090" xr:uid="{00000000-0005-0000-0000-0000653A0000}"/>
    <cellStyle name="Note 2 5 3 5 5" xfId="20630" xr:uid="{00000000-0005-0000-0000-0000663A0000}"/>
    <cellStyle name="Note 2 5 3 6" xfId="5667" xr:uid="{00000000-0005-0000-0000-0000673A0000}"/>
    <cellStyle name="Note 2 5 3 6 2" xfId="15902" xr:uid="{00000000-0005-0000-0000-0000683A0000}"/>
    <cellStyle name="Note 2 5 3 6 2 2" xfId="30734" xr:uid="{00000000-0005-0000-0000-0000693A0000}"/>
    <cellStyle name="Note 2 5 3 6 3" xfId="22363" xr:uid="{00000000-0005-0000-0000-00006A3A0000}"/>
    <cellStyle name="Note 2 5 3 7" xfId="11922" xr:uid="{00000000-0005-0000-0000-00006B3A0000}"/>
    <cellStyle name="Note 2 5 3 7 2" xfId="26754" xr:uid="{00000000-0005-0000-0000-00006C3A0000}"/>
    <cellStyle name="Note 2 5 3 8" xfId="9580" xr:uid="{00000000-0005-0000-0000-00006D3A0000}"/>
    <cellStyle name="Note 2 5 3 8 2" xfId="19882" xr:uid="{00000000-0005-0000-0000-00006E3A0000}"/>
    <cellStyle name="Note 2 5 4" xfId="1564" xr:uid="{00000000-0005-0000-0000-00006F3A0000}"/>
    <cellStyle name="Note 2 5 4 2" xfId="2061" xr:uid="{00000000-0005-0000-0000-0000703A0000}"/>
    <cellStyle name="Note 2 5 4 2 2" xfId="3402" xr:uid="{00000000-0005-0000-0000-0000713A0000}"/>
    <cellStyle name="Note 2 5 4 2 2 2" xfId="7465" xr:uid="{00000000-0005-0000-0000-0000723A0000}"/>
    <cellStyle name="Note 2 5 4 2 2 2 2" xfId="17164" xr:uid="{00000000-0005-0000-0000-0000733A0000}"/>
    <cellStyle name="Note 2 5 4 2 2 2 2 2" xfId="31996" xr:uid="{00000000-0005-0000-0000-0000743A0000}"/>
    <cellStyle name="Note 2 5 4 2 2 2 3" xfId="23453" xr:uid="{00000000-0005-0000-0000-0000753A0000}"/>
    <cellStyle name="Note 2 5 4 2 2 3" xfId="13739" xr:uid="{00000000-0005-0000-0000-0000763A0000}"/>
    <cellStyle name="Note 2 5 4 2 2 3 2" xfId="28571" xr:uid="{00000000-0005-0000-0000-0000773A0000}"/>
    <cellStyle name="Note 2 5 4 2 2 4" xfId="10783" xr:uid="{00000000-0005-0000-0000-0000783A0000}"/>
    <cellStyle name="Note 2 5 4 2 2 4 2" xfId="25615" xr:uid="{00000000-0005-0000-0000-0000793A0000}"/>
    <cellStyle name="Note 2 5 4 2 2 5" xfId="21131" xr:uid="{00000000-0005-0000-0000-00007A3A0000}"/>
    <cellStyle name="Note 2 5 4 2 3" xfId="5029" xr:uid="{00000000-0005-0000-0000-00007B3A0000}"/>
    <cellStyle name="Note 2 5 4 2 3 2" xfId="9068" xr:uid="{00000000-0005-0000-0000-00007C3A0000}"/>
    <cellStyle name="Note 2 5 4 2 3 2 2" xfId="18001" xr:uid="{00000000-0005-0000-0000-00007D3A0000}"/>
    <cellStyle name="Note 2 5 4 2 3 2 2 2" xfId="32833" xr:uid="{00000000-0005-0000-0000-00007E3A0000}"/>
    <cellStyle name="Note 2 5 4 2 3 2 3" xfId="24502" xr:uid="{00000000-0005-0000-0000-00007F3A0000}"/>
    <cellStyle name="Note 2 5 4 2 3 3" xfId="15350" xr:uid="{00000000-0005-0000-0000-0000803A0000}"/>
    <cellStyle name="Note 2 5 4 2 3 3 2" xfId="30182" xr:uid="{00000000-0005-0000-0000-0000813A0000}"/>
    <cellStyle name="Note 2 5 4 2 3 4" xfId="11601" xr:uid="{00000000-0005-0000-0000-0000823A0000}"/>
    <cellStyle name="Note 2 5 4 2 3 4 2" xfId="26433" xr:uid="{00000000-0005-0000-0000-0000833A0000}"/>
    <cellStyle name="Note 2 5 4 2 3 5" xfId="22022" xr:uid="{00000000-0005-0000-0000-0000843A0000}"/>
    <cellStyle name="Note 2 5 4 2 4" xfId="3019" xr:uid="{00000000-0005-0000-0000-0000853A0000}"/>
    <cellStyle name="Note 2 5 4 2 4 2" xfId="7094" xr:uid="{00000000-0005-0000-0000-0000863A0000}"/>
    <cellStyle name="Note 2 5 4 2 4 2 2" xfId="16892" xr:uid="{00000000-0005-0000-0000-0000873A0000}"/>
    <cellStyle name="Note 2 5 4 2 4 2 2 2" xfId="31724" xr:uid="{00000000-0005-0000-0000-0000883A0000}"/>
    <cellStyle name="Note 2 5 4 2 4 2 3" xfId="23235" xr:uid="{00000000-0005-0000-0000-0000893A0000}"/>
    <cellStyle name="Note 2 5 4 2 4 3" xfId="13357" xr:uid="{00000000-0005-0000-0000-00008A3A0000}"/>
    <cellStyle name="Note 2 5 4 2 4 3 2" xfId="28189" xr:uid="{00000000-0005-0000-0000-00008B3A0000}"/>
    <cellStyle name="Note 2 5 4 2 4 4" xfId="10548" xr:uid="{00000000-0005-0000-0000-00008C3A0000}"/>
    <cellStyle name="Note 2 5 4 2 4 4 2" xfId="25380" xr:uid="{00000000-0005-0000-0000-00008D3A0000}"/>
    <cellStyle name="Note 2 5 4 2 4 5" xfId="20913" xr:uid="{00000000-0005-0000-0000-00008E3A0000}"/>
    <cellStyle name="Note 2 5 4 2 5" xfId="6186" xr:uid="{00000000-0005-0000-0000-00008F3A0000}"/>
    <cellStyle name="Note 2 5 4 2 5 2" xfId="16372" xr:uid="{00000000-0005-0000-0000-0000903A0000}"/>
    <cellStyle name="Note 2 5 4 2 5 2 2" xfId="31204" xr:uid="{00000000-0005-0000-0000-0000913A0000}"/>
    <cellStyle name="Note 2 5 4 2 5 3" xfId="22686" xr:uid="{00000000-0005-0000-0000-0000923A0000}"/>
    <cellStyle name="Note 2 5 4 2 6" xfId="12442" xr:uid="{00000000-0005-0000-0000-0000933A0000}"/>
    <cellStyle name="Note 2 5 4 2 6 2" xfId="27274" xr:uid="{00000000-0005-0000-0000-0000943A0000}"/>
    <cellStyle name="Note 2 5 4 2 7" xfId="10024" xr:uid="{00000000-0005-0000-0000-0000953A0000}"/>
    <cellStyle name="Note 2 5 4 2 7 2" xfId="24856" xr:uid="{00000000-0005-0000-0000-0000963A0000}"/>
    <cellStyle name="Note 2 5 4 2 8" xfId="20365" xr:uid="{00000000-0005-0000-0000-0000973A0000}"/>
    <cellStyle name="Note 2 5 4 3" xfId="3229" xr:uid="{00000000-0005-0000-0000-0000983A0000}"/>
    <cellStyle name="Note 2 5 4 3 2" xfId="7293" xr:uid="{00000000-0005-0000-0000-0000993A0000}"/>
    <cellStyle name="Note 2 5 4 3 2 2" xfId="17053" xr:uid="{00000000-0005-0000-0000-00009A3A0000}"/>
    <cellStyle name="Note 2 5 4 3 2 2 2" xfId="31885" xr:uid="{00000000-0005-0000-0000-00009B3A0000}"/>
    <cellStyle name="Note 2 5 4 3 2 3" xfId="23334" xr:uid="{00000000-0005-0000-0000-00009C3A0000}"/>
    <cellStyle name="Note 2 5 4 3 3" xfId="13567" xr:uid="{00000000-0005-0000-0000-00009D3A0000}"/>
    <cellStyle name="Note 2 5 4 3 3 2" xfId="28399" xr:uid="{00000000-0005-0000-0000-00009E3A0000}"/>
    <cellStyle name="Note 2 5 4 3 4" xfId="10693" xr:uid="{00000000-0005-0000-0000-00009F3A0000}"/>
    <cellStyle name="Note 2 5 4 3 4 2" xfId="25525" xr:uid="{00000000-0005-0000-0000-0000A03A0000}"/>
    <cellStyle name="Note 2 5 4 3 5" xfId="21023" xr:uid="{00000000-0005-0000-0000-0000A13A0000}"/>
    <cellStyle name="Note 2 5 4 4" xfId="4609" xr:uid="{00000000-0005-0000-0000-0000A23A0000}"/>
    <cellStyle name="Note 2 5 4 4 2" xfId="8648" xr:uid="{00000000-0005-0000-0000-0000A33A0000}"/>
    <cellStyle name="Note 2 5 4 4 2 2" xfId="17761" xr:uid="{00000000-0005-0000-0000-0000A43A0000}"/>
    <cellStyle name="Note 2 5 4 4 2 2 2" xfId="32593" xr:uid="{00000000-0005-0000-0000-0000A53A0000}"/>
    <cellStyle name="Note 2 5 4 4 2 3" xfId="24242" xr:uid="{00000000-0005-0000-0000-0000A63A0000}"/>
    <cellStyle name="Note 2 5 4 4 3" xfId="14935" xr:uid="{00000000-0005-0000-0000-0000A73A0000}"/>
    <cellStyle name="Note 2 5 4 4 3 2" xfId="29767" xr:uid="{00000000-0005-0000-0000-0000A83A0000}"/>
    <cellStyle name="Note 2 5 4 4 4" xfId="11366" xr:uid="{00000000-0005-0000-0000-0000A93A0000}"/>
    <cellStyle name="Note 2 5 4 4 4 2" xfId="26198" xr:uid="{00000000-0005-0000-0000-0000AA3A0000}"/>
    <cellStyle name="Note 2 5 4 4 5" xfId="21792" xr:uid="{00000000-0005-0000-0000-0000AB3A0000}"/>
    <cellStyle name="Note 2 5 4 5" xfId="2599" xr:uid="{00000000-0005-0000-0000-0000AC3A0000}"/>
    <cellStyle name="Note 2 5 4 5 2" xfId="6700" xr:uid="{00000000-0005-0000-0000-0000AD3A0000}"/>
    <cellStyle name="Note 2 5 4 5 2 2" xfId="16657" xr:uid="{00000000-0005-0000-0000-0000AE3A0000}"/>
    <cellStyle name="Note 2 5 4 5 2 2 2" xfId="31489" xr:uid="{00000000-0005-0000-0000-0000AF3A0000}"/>
    <cellStyle name="Note 2 5 4 5 2 3" xfId="23005" xr:uid="{00000000-0005-0000-0000-0000B03A0000}"/>
    <cellStyle name="Note 2 5 4 5 3" xfId="12937" xr:uid="{00000000-0005-0000-0000-0000B13A0000}"/>
    <cellStyle name="Note 2 5 4 5 3 2" xfId="27769" xr:uid="{00000000-0005-0000-0000-0000B23A0000}"/>
    <cellStyle name="Note 2 5 4 5 4" xfId="10308" xr:uid="{00000000-0005-0000-0000-0000B33A0000}"/>
    <cellStyle name="Note 2 5 4 5 4 2" xfId="25140" xr:uid="{00000000-0005-0000-0000-0000B43A0000}"/>
    <cellStyle name="Note 2 5 4 5 5" xfId="20653" xr:uid="{00000000-0005-0000-0000-0000B53A0000}"/>
    <cellStyle name="Note 2 5 4 6" xfId="5716" xr:uid="{00000000-0005-0000-0000-0000B63A0000}"/>
    <cellStyle name="Note 2 5 4 6 2" xfId="15951" xr:uid="{00000000-0005-0000-0000-0000B73A0000}"/>
    <cellStyle name="Note 2 5 4 6 2 2" xfId="30783" xr:uid="{00000000-0005-0000-0000-0000B83A0000}"/>
    <cellStyle name="Note 2 5 4 6 3" xfId="22380" xr:uid="{00000000-0005-0000-0000-0000B93A0000}"/>
    <cellStyle name="Note 2 5 4 7" xfId="11971" xr:uid="{00000000-0005-0000-0000-0000BA3A0000}"/>
    <cellStyle name="Note 2 5 4 7 2" xfId="26803" xr:uid="{00000000-0005-0000-0000-0000BB3A0000}"/>
    <cellStyle name="Note 2 5 4 8" xfId="9630" xr:uid="{00000000-0005-0000-0000-0000BC3A0000}"/>
    <cellStyle name="Note 2 5 4 8 2" xfId="19931" xr:uid="{00000000-0005-0000-0000-0000BD3A0000}"/>
    <cellStyle name="Note 2 5 5" xfId="1614" xr:uid="{00000000-0005-0000-0000-0000BE3A0000}"/>
    <cellStyle name="Note 2 5 5 2" xfId="2111" xr:uid="{00000000-0005-0000-0000-0000BF3A0000}"/>
    <cellStyle name="Note 2 5 5 2 2" xfId="3660" xr:uid="{00000000-0005-0000-0000-0000C03A0000}"/>
    <cellStyle name="Note 2 5 5 2 2 2" xfId="7719" xr:uid="{00000000-0005-0000-0000-0000C13A0000}"/>
    <cellStyle name="Note 2 5 5 2 2 2 2" xfId="17306" xr:uid="{00000000-0005-0000-0000-0000C23A0000}"/>
    <cellStyle name="Note 2 5 5 2 2 2 2 2" xfId="32138" xr:uid="{00000000-0005-0000-0000-0000C33A0000}"/>
    <cellStyle name="Note 2 5 5 2 2 2 3" xfId="23615" xr:uid="{00000000-0005-0000-0000-0000C43A0000}"/>
    <cellStyle name="Note 2 5 5 2 2 3" xfId="13995" xr:uid="{00000000-0005-0000-0000-0000C53A0000}"/>
    <cellStyle name="Note 2 5 5 2 2 3 2" xfId="28827" xr:uid="{00000000-0005-0000-0000-0000C63A0000}"/>
    <cellStyle name="Note 2 5 5 2 2 4" xfId="10922" xr:uid="{00000000-0005-0000-0000-0000C73A0000}"/>
    <cellStyle name="Note 2 5 5 2 2 4 2" xfId="25754" xr:uid="{00000000-0005-0000-0000-0000C83A0000}"/>
    <cellStyle name="Note 2 5 5 2 2 5" xfId="21279" xr:uid="{00000000-0005-0000-0000-0000C93A0000}"/>
    <cellStyle name="Note 2 5 5 2 3" xfId="5079" xr:uid="{00000000-0005-0000-0000-0000CA3A0000}"/>
    <cellStyle name="Note 2 5 5 2 3 2" xfId="9118" xr:uid="{00000000-0005-0000-0000-0000CB3A0000}"/>
    <cellStyle name="Note 2 5 5 2 3 2 2" xfId="18046" xr:uid="{00000000-0005-0000-0000-0000CC3A0000}"/>
    <cellStyle name="Note 2 5 5 2 3 2 2 2" xfId="32878" xr:uid="{00000000-0005-0000-0000-0000CD3A0000}"/>
    <cellStyle name="Note 2 5 5 2 3 2 3" xfId="24520" xr:uid="{00000000-0005-0000-0000-0000CE3A0000}"/>
    <cellStyle name="Note 2 5 5 2 3 3" xfId="15399" xr:uid="{00000000-0005-0000-0000-0000CF3A0000}"/>
    <cellStyle name="Note 2 5 5 2 3 3 2" xfId="30231" xr:uid="{00000000-0005-0000-0000-0000D03A0000}"/>
    <cellStyle name="Note 2 5 5 2 3 4" xfId="11645" xr:uid="{00000000-0005-0000-0000-0000D13A0000}"/>
    <cellStyle name="Note 2 5 5 2 3 4 2" xfId="26477" xr:uid="{00000000-0005-0000-0000-0000D23A0000}"/>
    <cellStyle name="Note 2 5 5 2 3 5" xfId="22034" xr:uid="{00000000-0005-0000-0000-0000D33A0000}"/>
    <cellStyle name="Note 2 5 5 2 4" xfId="3069" xr:uid="{00000000-0005-0000-0000-0000D43A0000}"/>
    <cellStyle name="Note 2 5 5 2 4 2" xfId="7139" xr:uid="{00000000-0005-0000-0000-0000D53A0000}"/>
    <cellStyle name="Note 2 5 5 2 4 2 2" xfId="16936" xr:uid="{00000000-0005-0000-0000-0000D63A0000}"/>
    <cellStyle name="Note 2 5 5 2 4 2 2 2" xfId="31768" xr:uid="{00000000-0005-0000-0000-0000D73A0000}"/>
    <cellStyle name="Note 2 5 5 2 4 2 3" xfId="23247" xr:uid="{00000000-0005-0000-0000-0000D83A0000}"/>
    <cellStyle name="Note 2 5 5 2 4 3" xfId="13407" xr:uid="{00000000-0005-0000-0000-0000D93A0000}"/>
    <cellStyle name="Note 2 5 5 2 4 3 2" xfId="28239" xr:uid="{00000000-0005-0000-0000-0000DA3A0000}"/>
    <cellStyle name="Note 2 5 5 2 4 4" xfId="10593" xr:uid="{00000000-0005-0000-0000-0000DB3A0000}"/>
    <cellStyle name="Note 2 5 5 2 4 4 2" xfId="25425" xr:uid="{00000000-0005-0000-0000-0000DC3A0000}"/>
    <cellStyle name="Note 2 5 5 2 4 5" xfId="20931" xr:uid="{00000000-0005-0000-0000-0000DD3A0000}"/>
    <cellStyle name="Note 2 5 5 2 5" xfId="6231" xr:uid="{00000000-0005-0000-0000-0000DE3A0000}"/>
    <cellStyle name="Note 2 5 5 2 5 2" xfId="16416" xr:uid="{00000000-0005-0000-0000-0000DF3A0000}"/>
    <cellStyle name="Note 2 5 5 2 5 2 2" xfId="31248" xr:uid="{00000000-0005-0000-0000-0000E03A0000}"/>
    <cellStyle name="Note 2 5 5 2 5 3" xfId="22698" xr:uid="{00000000-0005-0000-0000-0000E13A0000}"/>
    <cellStyle name="Note 2 5 5 2 6" xfId="12486" xr:uid="{00000000-0005-0000-0000-0000E23A0000}"/>
    <cellStyle name="Note 2 5 5 2 6 2" xfId="27318" xr:uid="{00000000-0005-0000-0000-0000E33A0000}"/>
    <cellStyle name="Note 2 5 5 2 7" xfId="10068" xr:uid="{00000000-0005-0000-0000-0000E43A0000}"/>
    <cellStyle name="Note 2 5 5 2 7 2" xfId="24900" xr:uid="{00000000-0005-0000-0000-0000E53A0000}"/>
    <cellStyle name="Note 2 5 5 2 8" xfId="20377" xr:uid="{00000000-0005-0000-0000-0000E63A0000}"/>
    <cellStyle name="Note 2 5 5 3" xfId="4331" xr:uid="{00000000-0005-0000-0000-0000E73A0000}"/>
    <cellStyle name="Note 2 5 5 3 2" xfId="8370" xr:uid="{00000000-0005-0000-0000-0000E83A0000}"/>
    <cellStyle name="Note 2 5 5 3 2 2" xfId="17648" xr:uid="{00000000-0005-0000-0000-0000E93A0000}"/>
    <cellStyle name="Note 2 5 5 3 2 2 2" xfId="32480" xr:uid="{00000000-0005-0000-0000-0000EA3A0000}"/>
    <cellStyle name="Note 2 5 5 3 2 3" xfId="24033" xr:uid="{00000000-0005-0000-0000-0000EB3A0000}"/>
    <cellStyle name="Note 2 5 5 3 3" xfId="14662" xr:uid="{00000000-0005-0000-0000-0000EC3A0000}"/>
    <cellStyle name="Note 2 5 5 3 3 2" xfId="29494" xr:uid="{00000000-0005-0000-0000-0000ED3A0000}"/>
    <cellStyle name="Note 2 5 5 3 4" xfId="11258" xr:uid="{00000000-0005-0000-0000-0000EE3A0000}"/>
    <cellStyle name="Note 2 5 5 3 4 2" xfId="26090" xr:uid="{00000000-0005-0000-0000-0000EF3A0000}"/>
    <cellStyle name="Note 2 5 5 3 5" xfId="21629" xr:uid="{00000000-0005-0000-0000-0000F03A0000}"/>
    <cellStyle name="Note 2 5 5 4" xfId="4659" xr:uid="{00000000-0005-0000-0000-0000F13A0000}"/>
    <cellStyle name="Note 2 5 5 4 2" xfId="8698" xr:uid="{00000000-0005-0000-0000-0000F23A0000}"/>
    <cellStyle name="Note 2 5 5 4 2 2" xfId="17806" xr:uid="{00000000-0005-0000-0000-0000F33A0000}"/>
    <cellStyle name="Note 2 5 5 4 2 2 2" xfId="32638" xr:uid="{00000000-0005-0000-0000-0000F43A0000}"/>
    <cellStyle name="Note 2 5 5 4 2 3" xfId="24260" xr:uid="{00000000-0005-0000-0000-0000F53A0000}"/>
    <cellStyle name="Note 2 5 5 4 3" xfId="14984" xr:uid="{00000000-0005-0000-0000-0000F63A0000}"/>
    <cellStyle name="Note 2 5 5 4 3 2" xfId="29816" xr:uid="{00000000-0005-0000-0000-0000F73A0000}"/>
    <cellStyle name="Note 2 5 5 4 4" xfId="11410" xr:uid="{00000000-0005-0000-0000-0000F83A0000}"/>
    <cellStyle name="Note 2 5 5 4 4 2" xfId="26242" xr:uid="{00000000-0005-0000-0000-0000F93A0000}"/>
    <cellStyle name="Note 2 5 5 4 5" xfId="21804" xr:uid="{00000000-0005-0000-0000-0000FA3A0000}"/>
    <cellStyle name="Note 2 5 5 5" xfId="2649" xr:uid="{00000000-0005-0000-0000-0000FB3A0000}"/>
    <cellStyle name="Note 2 5 5 5 2" xfId="6745" xr:uid="{00000000-0005-0000-0000-0000FC3A0000}"/>
    <cellStyle name="Note 2 5 5 5 2 2" xfId="16701" xr:uid="{00000000-0005-0000-0000-0000FD3A0000}"/>
    <cellStyle name="Note 2 5 5 5 2 2 2" xfId="31533" xr:uid="{00000000-0005-0000-0000-0000FE3A0000}"/>
    <cellStyle name="Note 2 5 5 5 2 3" xfId="23017" xr:uid="{00000000-0005-0000-0000-0000FF3A0000}"/>
    <cellStyle name="Note 2 5 5 5 3" xfId="12987" xr:uid="{00000000-0005-0000-0000-0000003B0000}"/>
    <cellStyle name="Note 2 5 5 5 3 2" xfId="27819" xr:uid="{00000000-0005-0000-0000-0000013B0000}"/>
    <cellStyle name="Note 2 5 5 5 4" xfId="10353" xr:uid="{00000000-0005-0000-0000-0000023B0000}"/>
    <cellStyle name="Note 2 5 5 5 4 2" xfId="25185" xr:uid="{00000000-0005-0000-0000-0000033B0000}"/>
    <cellStyle name="Note 2 5 5 5 5" xfId="20671" xr:uid="{00000000-0005-0000-0000-0000043B0000}"/>
    <cellStyle name="Note 2 5 5 6" xfId="5761" xr:uid="{00000000-0005-0000-0000-0000053B0000}"/>
    <cellStyle name="Note 2 5 5 6 2" xfId="15995" xr:uid="{00000000-0005-0000-0000-0000063B0000}"/>
    <cellStyle name="Note 2 5 5 6 2 2" xfId="30827" xr:uid="{00000000-0005-0000-0000-0000073B0000}"/>
    <cellStyle name="Note 2 5 5 6 3" xfId="22392" xr:uid="{00000000-0005-0000-0000-0000083B0000}"/>
    <cellStyle name="Note 2 5 5 7" xfId="12015" xr:uid="{00000000-0005-0000-0000-0000093B0000}"/>
    <cellStyle name="Note 2 5 5 7 2" xfId="26847" xr:uid="{00000000-0005-0000-0000-00000A3B0000}"/>
    <cellStyle name="Note 2 5 5 8" xfId="9675" xr:uid="{00000000-0005-0000-0000-00000B3B0000}"/>
    <cellStyle name="Note 2 5 5 8 2" xfId="19975" xr:uid="{00000000-0005-0000-0000-00000C3B0000}"/>
    <cellStyle name="Note 2 5 6" xfId="1765" xr:uid="{00000000-0005-0000-0000-00000D3B0000}"/>
    <cellStyle name="Note 2 5 6 2" xfId="3706" xr:uid="{00000000-0005-0000-0000-00000E3B0000}"/>
    <cellStyle name="Note 2 5 6 2 2" xfId="7762" xr:uid="{00000000-0005-0000-0000-00000F3B0000}"/>
    <cellStyle name="Note 2 5 6 2 2 2" xfId="17327" xr:uid="{00000000-0005-0000-0000-0000103B0000}"/>
    <cellStyle name="Note 2 5 6 2 2 2 2" xfId="32159" xr:uid="{00000000-0005-0000-0000-0000113B0000}"/>
    <cellStyle name="Note 2 5 6 2 2 3" xfId="23644" xr:uid="{00000000-0005-0000-0000-0000123B0000}"/>
    <cellStyle name="Note 2 5 6 2 3" xfId="14041" xr:uid="{00000000-0005-0000-0000-0000133B0000}"/>
    <cellStyle name="Note 2 5 6 2 3 2" xfId="28873" xr:uid="{00000000-0005-0000-0000-0000143B0000}"/>
    <cellStyle name="Note 2 5 6 2 4" xfId="10945" xr:uid="{00000000-0005-0000-0000-0000153B0000}"/>
    <cellStyle name="Note 2 5 6 2 4 2" xfId="25777" xr:uid="{00000000-0005-0000-0000-0000163B0000}"/>
    <cellStyle name="Note 2 5 6 2 5" xfId="21304" xr:uid="{00000000-0005-0000-0000-0000173B0000}"/>
    <cellStyle name="Note 2 5 6 3" xfId="4743" xr:uid="{00000000-0005-0000-0000-0000183B0000}"/>
    <cellStyle name="Note 2 5 6 3 2" xfId="8782" xr:uid="{00000000-0005-0000-0000-0000193B0000}"/>
    <cellStyle name="Note 2 5 6 3 2 2" xfId="17854" xr:uid="{00000000-0005-0000-0000-00001A3B0000}"/>
    <cellStyle name="Note 2 5 6 3 2 2 2" xfId="32686" xr:uid="{00000000-0005-0000-0000-00001B3B0000}"/>
    <cellStyle name="Note 2 5 6 3 2 3" xfId="24312" xr:uid="{00000000-0005-0000-0000-00001C3B0000}"/>
    <cellStyle name="Note 2 5 6 3 3" xfId="15067" xr:uid="{00000000-0005-0000-0000-00001D3B0000}"/>
    <cellStyle name="Note 2 5 6 3 3 2" xfId="29899" xr:uid="{00000000-0005-0000-0000-00001E3B0000}"/>
    <cellStyle name="Note 2 5 6 3 4" xfId="11457" xr:uid="{00000000-0005-0000-0000-00001F3B0000}"/>
    <cellStyle name="Note 2 5 6 3 4 2" xfId="26289" xr:uid="{00000000-0005-0000-0000-0000203B0000}"/>
    <cellStyle name="Note 2 5 6 3 5" xfId="21850" xr:uid="{00000000-0005-0000-0000-0000213B0000}"/>
    <cellStyle name="Note 2 5 6 4" xfId="2733" xr:uid="{00000000-0005-0000-0000-0000223B0000}"/>
    <cellStyle name="Note 2 5 6 4 2" xfId="6824" xr:uid="{00000000-0005-0000-0000-0000233B0000}"/>
    <cellStyle name="Note 2 5 6 4 2 2" xfId="16748" xr:uid="{00000000-0005-0000-0000-0000243B0000}"/>
    <cellStyle name="Note 2 5 6 4 2 2 2" xfId="31580" xr:uid="{00000000-0005-0000-0000-0000253B0000}"/>
    <cellStyle name="Note 2 5 6 4 2 3" xfId="23063" xr:uid="{00000000-0005-0000-0000-0000263B0000}"/>
    <cellStyle name="Note 2 5 6 4 3" xfId="13071" xr:uid="{00000000-0005-0000-0000-0000273B0000}"/>
    <cellStyle name="Note 2 5 6 4 3 2" xfId="27903" xr:uid="{00000000-0005-0000-0000-0000283B0000}"/>
    <cellStyle name="Note 2 5 6 4 4" xfId="10401" xr:uid="{00000000-0005-0000-0000-0000293B0000}"/>
    <cellStyle name="Note 2 5 6 4 4 2" xfId="25233" xr:uid="{00000000-0005-0000-0000-00002A3B0000}"/>
    <cellStyle name="Note 2 5 6 4 5" xfId="20723" xr:uid="{00000000-0005-0000-0000-00002B3B0000}"/>
    <cellStyle name="Note 2 5 6 5" xfId="5897" xr:uid="{00000000-0005-0000-0000-00002C3B0000}"/>
    <cellStyle name="Note 2 5 6 5 2" xfId="16089" xr:uid="{00000000-0005-0000-0000-00002D3B0000}"/>
    <cellStyle name="Note 2 5 6 5 2 2" xfId="30921" xr:uid="{00000000-0005-0000-0000-00002E3B0000}"/>
    <cellStyle name="Note 2 5 6 5 3" xfId="22494" xr:uid="{00000000-0005-0000-0000-00002F3B0000}"/>
    <cellStyle name="Note 2 5 6 6" xfId="12159" xr:uid="{00000000-0005-0000-0000-0000303B0000}"/>
    <cellStyle name="Note 2 5 6 6 2" xfId="26991" xr:uid="{00000000-0005-0000-0000-0000313B0000}"/>
    <cellStyle name="Note 2 5 6 7" xfId="9755" xr:uid="{00000000-0005-0000-0000-0000323B0000}"/>
    <cellStyle name="Note 2 5 6 7 2" xfId="24712" xr:uid="{00000000-0005-0000-0000-0000333B0000}"/>
    <cellStyle name="Note 2 5 6 8" xfId="20302" xr:uid="{00000000-0005-0000-0000-0000343B0000}"/>
    <cellStyle name="Note 2 5 7" xfId="2201" xr:uid="{00000000-0005-0000-0000-0000353B0000}"/>
    <cellStyle name="Note 2 5 7 2" xfId="4026" xr:uid="{00000000-0005-0000-0000-0000363B0000}"/>
    <cellStyle name="Note 2 5 7 2 2" xfId="8073" xr:uid="{00000000-0005-0000-0000-0000373B0000}"/>
    <cellStyle name="Note 2 5 7 2 2 2" xfId="17483" xr:uid="{00000000-0005-0000-0000-0000383B0000}"/>
    <cellStyle name="Note 2 5 7 2 2 2 2" xfId="32315" xr:uid="{00000000-0005-0000-0000-0000393B0000}"/>
    <cellStyle name="Note 2 5 7 2 2 3" xfId="23843" xr:uid="{00000000-0005-0000-0000-00003A3B0000}"/>
    <cellStyle name="Note 2 5 7 2 3" xfId="14358" xr:uid="{00000000-0005-0000-0000-00003B3B0000}"/>
    <cellStyle name="Note 2 5 7 2 3 2" xfId="29190" xr:uid="{00000000-0005-0000-0000-00003C3B0000}"/>
    <cellStyle name="Note 2 5 7 2 4" xfId="11099" xr:uid="{00000000-0005-0000-0000-00003D3B0000}"/>
    <cellStyle name="Note 2 5 7 2 4 2" xfId="25931" xr:uid="{00000000-0005-0000-0000-00003E3B0000}"/>
    <cellStyle name="Note 2 5 7 2 5" xfId="21481" xr:uid="{00000000-0005-0000-0000-00003F3B0000}"/>
    <cellStyle name="Note 2 5 7 3" xfId="5169" xr:uid="{00000000-0005-0000-0000-0000403B0000}"/>
    <cellStyle name="Note 2 5 7 3 2" xfId="9208" xr:uid="{00000000-0005-0000-0000-0000413B0000}"/>
    <cellStyle name="Note 2 5 7 3 2 2" xfId="18131" xr:uid="{00000000-0005-0000-0000-0000423B0000}"/>
    <cellStyle name="Note 2 5 7 3 2 2 2" xfId="32963" xr:uid="{00000000-0005-0000-0000-0000433B0000}"/>
    <cellStyle name="Note 2 5 7 3 2 3" xfId="24546" xr:uid="{00000000-0005-0000-0000-0000443B0000}"/>
    <cellStyle name="Note 2 5 7 3 3" xfId="15487" xr:uid="{00000000-0005-0000-0000-0000453B0000}"/>
    <cellStyle name="Note 2 5 7 3 3 2" xfId="30319" xr:uid="{00000000-0005-0000-0000-0000463B0000}"/>
    <cellStyle name="Note 2 5 7 3 4" xfId="11728" xr:uid="{00000000-0005-0000-0000-0000473B0000}"/>
    <cellStyle name="Note 2 5 7 3 4 2" xfId="26560" xr:uid="{00000000-0005-0000-0000-0000483B0000}"/>
    <cellStyle name="Note 2 5 7 3 5" xfId="22053" xr:uid="{00000000-0005-0000-0000-0000493B0000}"/>
    <cellStyle name="Note 2 5 7 4" xfId="4199" xr:uid="{00000000-0005-0000-0000-00004A3B0000}"/>
    <cellStyle name="Note 2 5 7 4 2" xfId="8240" xr:uid="{00000000-0005-0000-0000-00004B3B0000}"/>
    <cellStyle name="Note 2 5 7 4 2 2" xfId="17587" xr:uid="{00000000-0005-0000-0000-00004C3B0000}"/>
    <cellStyle name="Note 2 5 7 4 2 2 2" xfId="32419" xr:uid="{00000000-0005-0000-0000-00004D3B0000}"/>
    <cellStyle name="Note 2 5 7 4 2 3" xfId="23935" xr:uid="{00000000-0005-0000-0000-00004E3B0000}"/>
    <cellStyle name="Note 2 5 7 4 3" xfId="14531" xr:uid="{00000000-0005-0000-0000-00004F3B0000}"/>
    <cellStyle name="Note 2 5 7 4 3 2" xfId="29363" xr:uid="{00000000-0005-0000-0000-0000503B0000}"/>
    <cellStyle name="Note 2 5 7 4 4" xfId="11207" xr:uid="{00000000-0005-0000-0000-0000513B0000}"/>
    <cellStyle name="Note 2 5 7 4 4 2" xfId="26039" xr:uid="{00000000-0005-0000-0000-0000523B0000}"/>
    <cellStyle name="Note 2 5 7 4 5" xfId="21560" xr:uid="{00000000-0005-0000-0000-0000533B0000}"/>
    <cellStyle name="Note 2 5 7 5" xfId="6315" xr:uid="{00000000-0005-0000-0000-0000543B0000}"/>
    <cellStyle name="Note 2 5 7 5 2" xfId="16499" xr:uid="{00000000-0005-0000-0000-0000553B0000}"/>
    <cellStyle name="Note 2 5 7 5 2 2" xfId="31331" xr:uid="{00000000-0005-0000-0000-0000563B0000}"/>
    <cellStyle name="Note 2 5 7 5 3" xfId="22717" xr:uid="{00000000-0005-0000-0000-0000573B0000}"/>
    <cellStyle name="Note 2 5 7 6" xfId="12569" xr:uid="{00000000-0005-0000-0000-0000583B0000}"/>
    <cellStyle name="Note 2 5 7 6 2" xfId="27401" xr:uid="{00000000-0005-0000-0000-0000593B0000}"/>
    <cellStyle name="Note 2 5 7 7" xfId="10151" xr:uid="{00000000-0005-0000-0000-00005A3B0000}"/>
    <cellStyle name="Note 2 5 7 7 2" xfId="24983" xr:uid="{00000000-0005-0000-0000-00005B3B0000}"/>
    <cellStyle name="Note 2 5 7 8" xfId="20396" xr:uid="{00000000-0005-0000-0000-00005C3B0000}"/>
    <cellStyle name="Note 2 5 8" xfId="3206" xr:uid="{00000000-0005-0000-0000-00005D3B0000}"/>
    <cellStyle name="Note 2 5 8 2" xfId="7270" xr:uid="{00000000-0005-0000-0000-00005E3B0000}"/>
    <cellStyle name="Note 2 5 8 2 2" xfId="17037" xr:uid="{00000000-0005-0000-0000-00005F3B0000}"/>
    <cellStyle name="Note 2 5 8 2 2 2" xfId="31869" xr:uid="{00000000-0005-0000-0000-0000603B0000}"/>
    <cellStyle name="Note 2 5 8 2 3" xfId="23318" xr:uid="{00000000-0005-0000-0000-0000613B0000}"/>
    <cellStyle name="Note 2 5 8 3" xfId="13544" xr:uid="{00000000-0005-0000-0000-0000623B0000}"/>
    <cellStyle name="Note 2 5 8 3 2" xfId="28376" xr:uid="{00000000-0005-0000-0000-0000633B0000}"/>
    <cellStyle name="Note 2 5 8 4" xfId="10681" xr:uid="{00000000-0005-0000-0000-0000643B0000}"/>
    <cellStyle name="Note 2 5 8 4 2" xfId="25513" xr:uid="{00000000-0005-0000-0000-0000653B0000}"/>
    <cellStyle name="Note 2 5 8 5" xfId="21008" xr:uid="{00000000-0005-0000-0000-0000663B0000}"/>
    <cellStyle name="Note 2 5 9" xfId="3503" xr:uid="{00000000-0005-0000-0000-0000673B0000}"/>
    <cellStyle name="Note 2 5 9 2" xfId="7565" xr:uid="{00000000-0005-0000-0000-0000683B0000}"/>
    <cellStyle name="Note 2 5 9 2 2" xfId="17223" xr:uid="{00000000-0005-0000-0000-0000693B0000}"/>
    <cellStyle name="Note 2 5 9 2 2 2" xfId="32055" xr:uid="{00000000-0005-0000-0000-00006A3B0000}"/>
    <cellStyle name="Note 2 5 9 2 3" xfId="23519" xr:uid="{00000000-0005-0000-0000-00006B3B0000}"/>
    <cellStyle name="Note 2 5 9 3" xfId="13840" xr:uid="{00000000-0005-0000-0000-00006C3B0000}"/>
    <cellStyle name="Note 2 5 9 3 2" xfId="28672" xr:uid="{00000000-0005-0000-0000-00006D3B0000}"/>
    <cellStyle name="Note 2 5 9 4" xfId="10841" xr:uid="{00000000-0005-0000-0000-00006E3B0000}"/>
    <cellStyle name="Note 2 5 9 4 2" xfId="25673" xr:uid="{00000000-0005-0000-0000-00006F3B0000}"/>
    <cellStyle name="Note 2 5 9 5" xfId="21194" xr:uid="{00000000-0005-0000-0000-0000703B0000}"/>
    <cellStyle name="Note 2 6" xfId="1221" xr:uid="{00000000-0005-0000-0000-0000713B0000}"/>
    <cellStyle name="Note 2 6 10" xfId="2307" xr:uid="{00000000-0005-0000-0000-0000723B0000}"/>
    <cellStyle name="Note 2 6 10 2" xfId="6419" xr:uid="{00000000-0005-0000-0000-0000733B0000}"/>
    <cellStyle name="Note 2 6 10 2 2" xfId="16512" xr:uid="{00000000-0005-0000-0000-0000743B0000}"/>
    <cellStyle name="Note 2 6 10 2 2 2" xfId="31344" xr:uid="{00000000-0005-0000-0000-0000753B0000}"/>
    <cellStyle name="Note 2 6 10 2 3" xfId="22821" xr:uid="{00000000-0005-0000-0000-0000763B0000}"/>
    <cellStyle name="Note 2 6 10 3" xfId="12647" xr:uid="{00000000-0005-0000-0000-0000773B0000}"/>
    <cellStyle name="Note 2 6 10 3 2" xfId="27479" xr:uid="{00000000-0005-0000-0000-0000783B0000}"/>
    <cellStyle name="Note 2 6 10 4" xfId="10163" xr:uid="{00000000-0005-0000-0000-0000793B0000}"/>
    <cellStyle name="Note 2 6 10 4 2" xfId="24995" xr:uid="{00000000-0005-0000-0000-00007A3B0000}"/>
    <cellStyle name="Note 2 6 10 5" xfId="20470" xr:uid="{00000000-0005-0000-0000-00007B3B0000}"/>
    <cellStyle name="Note 2 6 11" xfId="5270" xr:uid="{00000000-0005-0000-0000-00007C3B0000}"/>
    <cellStyle name="Note 2 6 11 2" xfId="9278" xr:uid="{00000000-0005-0000-0000-00007D3B0000}"/>
    <cellStyle name="Note 2 6 11 2 2" xfId="18145" xr:uid="{00000000-0005-0000-0000-00007E3B0000}"/>
    <cellStyle name="Note 2 6 11 2 2 2" xfId="32977" xr:uid="{00000000-0005-0000-0000-00007F3B0000}"/>
    <cellStyle name="Note 2 6 11 2 3" xfId="24616" xr:uid="{00000000-0005-0000-0000-0000803B0000}"/>
    <cellStyle name="Note 2 6 11 3" xfId="15586" xr:uid="{00000000-0005-0000-0000-0000813B0000}"/>
    <cellStyle name="Note 2 6 11 3 2" xfId="30418" xr:uid="{00000000-0005-0000-0000-0000823B0000}"/>
    <cellStyle name="Note 2 6 11 4" xfId="22127" xr:uid="{00000000-0005-0000-0000-0000833B0000}"/>
    <cellStyle name="Note 2 6 12" xfId="5428" xr:uid="{00000000-0005-0000-0000-0000843B0000}"/>
    <cellStyle name="Note 2 6 12 2" xfId="15664" xr:uid="{00000000-0005-0000-0000-0000853B0000}"/>
    <cellStyle name="Note 2 6 12 2 2" xfId="30496" xr:uid="{00000000-0005-0000-0000-0000863B0000}"/>
    <cellStyle name="Note 2 6 12 3" xfId="22189" xr:uid="{00000000-0005-0000-0000-0000873B0000}"/>
    <cellStyle name="Note 2 6 13" xfId="9363" xr:uid="{00000000-0005-0000-0000-0000883B0000}"/>
    <cellStyle name="Note 2 6 13 2" xfId="24669" xr:uid="{00000000-0005-0000-0000-0000893B0000}"/>
    <cellStyle name="Note 2 6 14" xfId="5352" xr:uid="{00000000-0005-0000-0000-00008A3B0000}"/>
    <cellStyle name="Note 2 6 14 2" xfId="18226" xr:uid="{00000000-0005-0000-0000-00008B3B0000}"/>
    <cellStyle name="Note 2 6 2" xfId="1340" xr:uid="{00000000-0005-0000-0000-00008C3B0000}"/>
    <cellStyle name="Note 2 6 2 2" xfId="1844" xr:uid="{00000000-0005-0000-0000-00008D3B0000}"/>
    <cellStyle name="Note 2 6 2 2 2" xfId="3379" xr:uid="{00000000-0005-0000-0000-00008E3B0000}"/>
    <cellStyle name="Note 2 6 2 2 2 2" xfId="7442" xr:uid="{00000000-0005-0000-0000-00008F3B0000}"/>
    <cellStyle name="Note 2 6 2 2 2 2 2" xfId="17149" xr:uid="{00000000-0005-0000-0000-0000903B0000}"/>
    <cellStyle name="Note 2 6 2 2 2 2 2 2" xfId="31981" xr:uid="{00000000-0005-0000-0000-0000913B0000}"/>
    <cellStyle name="Note 2 6 2 2 2 2 3" xfId="23437" xr:uid="{00000000-0005-0000-0000-0000923B0000}"/>
    <cellStyle name="Note 2 6 2 2 2 3" xfId="13716" xr:uid="{00000000-0005-0000-0000-0000933B0000}"/>
    <cellStyle name="Note 2 6 2 2 2 3 2" xfId="28548" xr:uid="{00000000-0005-0000-0000-0000943B0000}"/>
    <cellStyle name="Note 2 6 2 2 2 4" xfId="10768" xr:uid="{00000000-0005-0000-0000-0000953B0000}"/>
    <cellStyle name="Note 2 6 2 2 2 4 2" xfId="25600" xr:uid="{00000000-0005-0000-0000-0000963B0000}"/>
    <cellStyle name="Note 2 6 2 2 2 5" xfId="21119" xr:uid="{00000000-0005-0000-0000-0000973B0000}"/>
    <cellStyle name="Note 2 6 2 2 3" xfId="4822" xr:uid="{00000000-0005-0000-0000-0000983B0000}"/>
    <cellStyle name="Note 2 6 2 2 3 2" xfId="8861" xr:uid="{00000000-0005-0000-0000-0000993B0000}"/>
    <cellStyle name="Note 2 6 2 2 3 2 2" xfId="17902" xr:uid="{00000000-0005-0000-0000-00009A3B0000}"/>
    <cellStyle name="Note 2 6 2 2 3 2 2 2" xfId="32734" xr:uid="{00000000-0005-0000-0000-00009B3B0000}"/>
    <cellStyle name="Note 2 6 2 2 3 2 3" xfId="24359" xr:uid="{00000000-0005-0000-0000-00009C3B0000}"/>
    <cellStyle name="Note 2 6 2 2 3 3" xfId="15146" xr:uid="{00000000-0005-0000-0000-00009D3B0000}"/>
    <cellStyle name="Note 2 6 2 2 3 3 2" xfId="29978" xr:uid="{00000000-0005-0000-0000-00009E3B0000}"/>
    <cellStyle name="Note 2 6 2 2 3 4" xfId="11505" xr:uid="{00000000-0005-0000-0000-00009F3B0000}"/>
    <cellStyle name="Note 2 6 2 2 3 4 2" xfId="26337" xr:uid="{00000000-0005-0000-0000-0000A03B0000}"/>
    <cellStyle name="Note 2 6 2 2 3 5" xfId="21897" xr:uid="{00000000-0005-0000-0000-0000A13B0000}"/>
    <cellStyle name="Note 2 6 2 2 4" xfId="2812" xr:uid="{00000000-0005-0000-0000-0000A23B0000}"/>
    <cellStyle name="Note 2 6 2 2 4 2" xfId="6903" xr:uid="{00000000-0005-0000-0000-0000A33B0000}"/>
    <cellStyle name="Note 2 6 2 2 4 2 2" xfId="16796" xr:uid="{00000000-0005-0000-0000-0000A43B0000}"/>
    <cellStyle name="Note 2 6 2 2 4 2 2 2" xfId="31628" xr:uid="{00000000-0005-0000-0000-0000A53B0000}"/>
    <cellStyle name="Note 2 6 2 2 4 2 3" xfId="23110" xr:uid="{00000000-0005-0000-0000-0000A63B0000}"/>
    <cellStyle name="Note 2 6 2 2 4 3" xfId="13150" xr:uid="{00000000-0005-0000-0000-0000A73B0000}"/>
    <cellStyle name="Note 2 6 2 2 4 3 2" xfId="27982" xr:uid="{00000000-0005-0000-0000-0000A83B0000}"/>
    <cellStyle name="Note 2 6 2 2 4 4" xfId="10449" xr:uid="{00000000-0005-0000-0000-0000A93B0000}"/>
    <cellStyle name="Note 2 6 2 2 4 4 2" xfId="25281" xr:uid="{00000000-0005-0000-0000-0000AA3B0000}"/>
    <cellStyle name="Note 2 6 2 2 4 5" xfId="20770" xr:uid="{00000000-0005-0000-0000-0000AB3B0000}"/>
    <cellStyle name="Note 2 6 2 2 5" xfId="5976" xr:uid="{00000000-0005-0000-0000-0000AC3B0000}"/>
    <cellStyle name="Note 2 6 2 2 5 2" xfId="16168" xr:uid="{00000000-0005-0000-0000-0000AD3B0000}"/>
    <cellStyle name="Note 2 6 2 2 5 2 2" xfId="31000" xr:uid="{00000000-0005-0000-0000-0000AE3B0000}"/>
    <cellStyle name="Note 2 6 2 2 5 3" xfId="22541" xr:uid="{00000000-0005-0000-0000-0000AF3B0000}"/>
    <cellStyle name="Note 2 6 2 2 6" xfId="12238" xr:uid="{00000000-0005-0000-0000-0000B03B0000}"/>
    <cellStyle name="Note 2 6 2 2 6 2" xfId="27070" xr:uid="{00000000-0005-0000-0000-0000B13B0000}"/>
    <cellStyle name="Note 2 6 2 2 7" xfId="9834" xr:uid="{00000000-0005-0000-0000-0000B23B0000}"/>
    <cellStyle name="Note 2 6 2 2 7 2" xfId="24760" xr:uid="{00000000-0005-0000-0000-0000B33B0000}"/>
    <cellStyle name="Note 2 6 2 2 8" xfId="20318" xr:uid="{00000000-0005-0000-0000-0000B43B0000}"/>
    <cellStyle name="Note 2 6 2 3" xfId="4119" xr:uid="{00000000-0005-0000-0000-0000B53B0000}"/>
    <cellStyle name="Note 2 6 2 3 2" xfId="8164" xr:uid="{00000000-0005-0000-0000-0000B63B0000}"/>
    <cellStyle name="Note 2 6 2 3 2 2" xfId="17527" xr:uid="{00000000-0005-0000-0000-0000B73B0000}"/>
    <cellStyle name="Note 2 6 2 3 2 2 2" xfId="32359" xr:uid="{00000000-0005-0000-0000-0000B83B0000}"/>
    <cellStyle name="Note 2 6 2 3 2 3" xfId="23902" xr:uid="{00000000-0005-0000-0000-0000B93B0000}"/>
    <cellStyle name="Note 2 6 2 3 3" xfId="14451" xr:uid="{00000000-0005-0000-0000-0000BA3B0000}"/>
    <cellStyle name="Note 2 6 2 3 3 2" xfId="29283" xr:uid="{00000000-0005-0000-0000-0000BB3B0000}"/>
    <cellStyle name="Note 2 6 2 3 4" xfId="11145" xr:uid="{00000000-0005-0000-0000-0000BC3B0000}"/>
    <cellStyle name="Note 2 6 2 3 4 2" xfId="25977" xr:uid="{00000000-0005-0000-0000-0000BD3B0000}"/>
    <cellStyle name="Note 2 6 2 3 5" xfId="21528" xr:uid="{00000000-0005-0000-0000-0000BE3B0000}"/>
    <cellStyle name="Note 2 6 2 4" xfId="4402" xr:uid="{00000000-0005-0000-0000-0000BF3B0000}"/>
    <cellStyle name="Note 2 6 2 4 2" xfId="8441" xr:uid="{00000000-0005-0000-0000-0000C03B0000}"/>
    <cellStyle name="Note 2 6 2 4 2 2" xfId="17662" xr:uid="{00000000-0005-0000-0000-0000C13B0000}"/>
    <cellStyle name="Note 2 6 2 4 2 2 2" xfId="32494" xr:uid="{00000000-0005-0000-0000-0000C23B0000}"/>
    <cellStyle name="Note 2 6 2 4 2 3" xfId="24099" xr:uid="{00000000-0005-0000-0000-0000C33B0000}"/>
    <cellStyle name="Note 2 6 2 4 3" xfId="14731" xr:uid="{00000000-0005-0000-0000-0000C43B0000}"/>
    <cellStyle name="Note 2 6 2 4 3 2" xfId="29563" xr:uid="{00000000-0005-0000-0000-0000C53B0000}"/>
    <cellStyle name="Note 2 6 2 4 4" xfId="11270" xr:uid="{00000000-0005-0000-0000-0000C63B0000}"/>
    <cellStyle name="Note 2 6 2 4 4 2" xfId="26102" xr:uid="{00000000-0005-0000-0000-0000C73B0000}"/>
    <cellStyle name="Note 2 6 2 4 5" xfId="21667" xr:uid="{00000000-0005-0000-0000-0000C83B0000}"/>
    <cellStyle name="Note 2 6 2 5" xfId="2392" xr:uid="{00000000-0005-0000-0000-0000C93B0000}"/>
    <cellStyle name="Note 2 6 2 5 2" xfId="6504" xr:uid="{00000000-0005-0000-0000-0000CA3B0000}"/>
    <cellStyle name="Note 2 6 2 5 2 2" xfId="16560" xr:uid="{00000000-0005-0000-0000-0000CB3B0000}"/>
    <cellStyle name="Note 2 6 2 5 2 2 2" xfId="31392" xr:uid="{00000000-0005-0000-0000-0000CC3B0000}"/>
    <cellStyle name="Note 2 6 2 5 2 3" xfId="22874" xr:uid="{00000000-0005-0000-0000-0000CD3B0000}"/>
    <cellStyle name="Note 2 6 2 5 3" xfId="12731" xr:uid="{00000000-0005-0000-0000-0000CE3B0000}"/>
    <cellStyle name="Note 2 6 2 5 3 2" xfId="27563" xr:uid="{00000000-0005-0000-0000-0000CF3B0000}"/>
    <cellStyle name="Note 2 6 2 5 4" xfId="10210" xr:uid="{00000000-0005-0000-0000-0000D03B0000}"/>
    <cellStyle name="Note 2 6 2 5 4 2" xfId="25042" xr:uid="{00000000-0005-0000-0000-0000D13B0000}"/>
    <cellStyle name="Note 2 6 2 5 5" xfId="20516" xr:uid="{00000000-0005-0000-0000-0000D23B0000}"/>
    <cellStyle name="Note 2 6 2 6" xfId="5517" xr:uid="{00000000-0005-0000-0000-0000D33B0000}"/>
    <cellStyle name="Note 2 6 2 6 2" xfId="15752" xr:uid="{00000000-0005-0000-0000-0000D43B0000}"/>
    <cellStyle name="Note 2 6 2 6 2 2" xfId="30584" xr:uid="{00000000-0005-0000-0000-0000D53B0000}"/>
    <cellStyle name="Note 2 6 2 6 3" xfId="22245" xr:uid="{00000000-0005-0000-0000-0000D63B0000}"/>
    <cellStyle name="Note 2 6 2 7" xfId="11767" xr:uid="{00000000-0005-0000-0000-0000D73B0000}"/>
    <cellStyle name="Note 2 6 2 7 2" xfId="26599" xr:uid="{00000000-0005-0000-0000-0000D83B0000}"/>
    <cellStyle name="Note 2 6 2 8" xfId="9438" xr:uid="{00000000-0005-0000-0000-0000D93B0000}"/>
    <cellStyle name="Note 2 6 2 8 2" xfId="19742" xr:uid="{00000000-0005-0000-0000-0000DA3B0000}"/>
    <cellStyle name="Note 2 6 3" xfId="1510" xr:uid="{00000000-0005-0000-0000-0000DB3B0000}"/>
    <cellStyle name="Note 2 6 3 2" xfId="2007" xr:uid="{00000000-0005-0000-0000-0000DC3B0000}"/>
    <cellStyle name="Note 2 6 3 2 2" xfId="3890" xr:uid="{00000000-0005-0000-0000-0000DD3B0000}"/>
    <cellStyle name="Note 2 6 3 2 2 2" xfId="7941" xr:uid="{00000000-0005-0000-0000-0000DE3B0000}"/>
    <cellStyle name="Note 2 6 3 2 2 2 2" xfId="17414" xr:uid="{00000000-0005-0000-0000-0000DF3B0000}"/>
    <cellStyle name="Note 2 6 3 2 2 2 2 2" xfId="32246" xr:uid="{00000000-0005-0000-0000-0000E03B0000}"/>
    <cellStyle name="Note 2 6 3 2 2 2 3" xfId="23763" xr:uid="{00000000-0005-0000-0000-0000E13B0000}"/>
    <cellStyle name="Note 2 6 3 2 2 3" xfId="14224" xr:uid="{00000000-0005-0000-0000-0000E23B0000}"/>
    <cellStyle name="Note 2 6 3 2 2 3 2" xfId="29056" xr:uid="{00000000-0005-0000-0000-0000E33B0000}"/>
    <cellStyle name="Note 2 6 3 2 2 4" xfId="11031" xr:uid="{00000000-0005-0000-0000-0000E43B0000}"/>
    <cellStyle name="Note 2 6 3 2 2 4 2" xfId="25863" xr:uid="{00000000-0005-0000-0000-0000E53B0000}"/>
    <cellStyle name="Note 2 6 3 2 2 5" xfId="21405" xr:uid="{00000000-0005-0000-0000-0000E63B0000}"/>
    <cellStyle name="Note 2 6 3 2 3" xfId="4975" xr:uid="{00000000-0005-0000-0000-0000E73B0000}"/>
    <cellStyle name="Note 2 6 3 2 3 2" xfId="9014" xr:uid="{00000000-0005-0000-0000-0000E83B0000}"/>
    <cellStyle name="Note 2 6 3 2 3 2 2" xfId="17952" xr:uid="{00000000-0005-0000-0000-0000E93B0000}"/>
    <cellStyle name="Note 2 6 3 2 3 2 2 2" xfId="32784" xr:uid="{00000000-0005-0000-0000-0000EA3B0000}"/>
    <cellStyle name="Note 2 6 3 2 3 2 3" xfId="24480" xr:uid="{00000000-0005-0000-0000-0000EB3B0000}"/>
    <cellStyle name="Note 2 6 3 2 3 3" xfId="15297" xr:uid="{00000000-0005-0000-0000-0000EC3B0000}"/>
    <cellStyle name="Note 2 6 3 2 3 3 2" xfId="30129" xr:uid="{00000000-0005-0000-0000-0000ED3B0000}"/>
    <cellStyle name="Note 2 6 3 2 3 4" xfId="11553" xr:uid="{00000000-0005-0000-0000-0000EE3B0000}"/>
    <cellStyle name="Note 2 6 3 2 3 4 2" xfId="26385" xr:uid="{00000000-0005-0000-0000-0000EF3B0000}"/>
    <cellStyle name="Note 2 6 3 2 3 5" xfId="22006" xr:uid="{00000000-0005-0000-0000-0000F03B0000}"/>
    <cellStyle name="Note 2 6 3 2 4" xfId="2965" xr:uid="{00000000-0005-0000-0000-0000F13B0000}"/>
    <cellStyle name="Note 2 6 3 2 4 2" xfId="7045" xr:uid="{00000000-0005-0000-0000-0000F23B0000}"/>
    <cellStyle name="Note 2 6 3 2 4 2 2" xfId="16844" xr:uid="{00000000-0005-0000-0000-0000F33B0000}"/>
    <cellStyle name="Note 2 6 3 2 4 2 2 2" xfId="31676" xr:uid="{00000000-0005-0000-0000-0000F43B0000}"/>
    <cellStyle name="Note 2 6 3 2 4 2 3" xfId="23219" xr:uid="{00000000-0005-0000-0000-0000F53B0000}"/>
    <cellStyle name="Note 2 6 3 2 4 3" xfId="13303" xr:uid="{00000000-0005-0000-0000-0000F63B0000}"/>
    <cellStyle name="Note 2 6 3 2 4 3 2" xfId="28135" xr:uid="{00000000-0005-0000-0000-0000F73B0000}"/>
    <cellStyle name="Note 2 6 3 2 4 4" xfId="10499" xr:uid="{00000000-0005-0000-0000-0000F83B0000}"/>
    <cellStyle name="Note 2 6 3 2 4 4 2" xfId="25331" xr:uid="{00000000-0005-0000-0000-0000F93B0000}"/>
    <cellStyle name="Note 2 6 3 2 4 5" xfId="20891" xr:uid="{00000000-0005-0000-0000-0000FA3B0000}"/>
    <cellStyle name="Note 2 6 3 2 5" xfId="6137" xr:uid="{00000000-0005-0000-0000-0000FB3B0000}"/>
    <cellStyle name="Note 2 6 3 2 5 2" xfId="16324" xr:uid="{00000000-0005-0000-0000-0000FC3B0000}"/>
    <cellStyle name="Note 2 6 3 2 5 2 2" xfId="31156" xr:uid="{00000000-0005-0000-0000-0000FD3B0000}"/>
    <cellStyle name="Note 2 6 3 2 5 3" xfId="22670" xr:uid="{00000000-0005-0000-0000-0000FE3B0000}"/>
    <cellStyle name="Note 2 6 3 2 6" xfId="12394" xr:uid="{00000000-0005-0000-0000-0000FF3B0000}"/>
    <cellStyle name="Note 2 6 3 2 6 2" xfId="27226" xr:uid="{00000000-0005-0000-0000-0000003C0000}"/>
    <cellStyle name="Note 2 6 3 2 7" xfId="9976" xr:uid="{00000000-0005-0000-0000-0000013C0000}"/>
    <cellStyle name="Note 2 6 3 2 7 2" xfId="24808" xr:uid="{00000000-0005-0000-0000-0000023C0000}"/>
    <cellStyle name="Note 2 6 3 2 8" xfId="20349" xr:uid="{00000000-0005-0000-0000-0000033C0000}"/>
    <cellStyle name="Note 2 6 3 3" xfId="3269" xr:uid="{00000000-0005-0000-0000-0000043C0000}"/>
    <cellStyle name="Note 2 6 3 3 2" xfId="7333" xr:uid="{00000000-0005-0000-0000-0000053C0000}"/>
    <cellStyle name="Note 2 6 3 3 2 2" xfId="17077" xr:uid="{00000000-0005-0000-0000-0000063C0000}"/>
    <cellStyle name="Note 2 6 3 3 2 2 2" xfId="31909" xr:uid="{00000000-0005-0000-0000-0000073C0000}"/>
    <cellStyle name="Note 2 6 3 3 2 3" xfId="23366" xr:uid="{00000000-0005-0000-0000-0000083C0000}"/>
    <cellStyle name="Note 2 6 3 3 3" xfId="13606" xr:uid="{00000000-0005-0000-0000-0000093C0000}"/>
    <cellStyle name="Note 2 6 3 3 3 2" xfId="28438" xr:uid="{00000000-0005-0000-0000-00000A3C0000}"/>
    <cellStyle name="Note 2 6 3 3 4" xfId="10705" xr:uid="{00000000-0005-0000-0000-00000B3C0000}"/>
    <cellStyle name="Note 2 6 3 3 4 2" xfId="25537" xr:uid="{00000000-0005-0000-0000-00000C3C0000}"/>
    <cellStyle name="Note 2 6 3 3 5" xfId="21053" xr:uid="{00000000-0005-0000-0000-00000D3C0000}"/>
    <cellStyle name="Note 2 6 3 4" xfId="4555" xr:uid="{00000000-0005-0000-0000-00000E3C0000}"/>
    <cellStyle name="Note 2 6 3 4 2" xfId="8594" xr:uid="{00000000-0005-0000-0000-00000F3C0000}"/>
    <cellStyle name="Note 2 6 3 4 2 2" xfId="17712" xr:uid="{00000000-0005-0000-0000-0000103C0000}"/>
    <cellStyle name="Note 2 6 3 4 2 2 2" xfId="32544" xr:uid="{00000000-0005-0000-0000-0000113C0000}"/>
    <cellStyle name="Note 2 6 3 4 2 3" xfId="24220" xr:uid="{00000000-0005-0000-0000-0000123C0000}"/>
    <cellStyle name="Note 2 6 3 4 3" xfId="14882" xr:uid="{00000000-0005-0000-0000-0000133C0000}"/>
    <cellStyle name="Note 2 6 3 4 3 2" xfId="29714" xr:uid="{00000000-0005-0000-0000-0000143C0000}"/>
    <cellStyle name="Note 2 6 3 4 4" xfId="11318" xr:uid="{00000000-0005-0000-0000-0000153C0000}"/>
    <cellStyle name="Note 2 6 3 4 4 2" xfId="26150" xr:uid="{00000000-0005-0000-0000-0000163C0000}"/>
    <cellStyle name="Note 2 6 3 4 5" xfId="21776" xr:uid="{00000000-0005-0000-0000-0000173C0000}"/>
    <cellStyle name="Note 2 6 3 5" xfId="2545" xr:uid="{00000000-0005-0000-0000-0000183C0000}"/>
    <cellStyle name="Note 2 6 3 5 2" xfId="6651" xr:uid="{00000000-0005-0000-0000-0000193C0000}"/>
    <cellStyle name="Note 2 6 3 5 2 2" xfId="16609" xr:uid="{00000000-0005-0000-0000-00001A3C0000}"/>
    <cellStyle name="Note 2 6 3 5 2 2 2" xfId="31441" xr:uid="{00000000-0005-0000-0000-00001B3C0000}"/>
    <cellStyle name="Note 2 6 3 5 2 3" xfId="22989" xr:uid="{00000000-0005-0000-0000-00001C3C0000}"/>
    <cellStyle name="Note 2 6 3 5 3" xfId="12883" xr:uid="{00000000-0005-0000-0000-00001D3C0000}"/>
    <cellStyle name="Note 2 6 3 5 3 2" xfId="27715" xr:uid="{00000000-0005-0000-0000-00001E3C0000}"/>
    <cellStyle name="Note 2 6 3 5 4" xfId="10259" xr:uid="{00000000-0005-0000-0000-00001F3C0000}"/>
    <cellStyle name="Note 2 6 3 5 4 2" xfId="25091" xr:uid="{00000000-0005-0000-0000-0000203C0000}"/>
    <cellStyle name="Note 2 6 3 5 5" xfId="20631" xr:uid="{00000000-0005-0000-0000-0000213C0000}"/>
    <cellStyle name="Note 2 6 3 6" xfId="5668" xr:uid="{00000000-0005-0000-0000-0000223C0000}"/>
    <cellStyle name="Note 2 6 3 6 2" xfId="15903" xr:uid="{00000000-0005-0000-0000-0000233C0000}"/>
    <cellStyle name="Note 2 6 3 6 2 2" xfId="30735" xr:uid="{00000000-0005-0000-0000-0000243C0000}"/>
    <cellStyle name="Note 2 6 3 6 3" xfId="22364" xr:uid="{00000000-0005-0000-0000-0000253C0000}"/>
    <cellStyle name="Note 2 6 3 7" xfId="11923" xr:uid="{00000000-0005-0000-0000-0000263C0000}"/>
    <cellStyle name="Note 2 6 3 7 2" xfId="26755" xr:uid="{00000000-0005-0000-0000-0000273C0000}"/>
    <cellStyle name="Note 2 6 3 8" xfId="9581" xr:uid="{00000000-0005-0000-0000-0000283C0000}"/>
    <cellStyle name="Note 2 6 3 8 2" xfId="19883" xr:uid="{00000000-0005-0000-0000-0000293C0000}"/>
    <cellStyle name="Note 2 6 4" xfId="1565" xr:uid="{00000000-0005-0000-0000-00002A3C0000}"/>
    <cellStyle name="Note 2 6 4 2" xfId="2062" xr:uid="{00000000-0005-0000-0000-00002B3C0000}"/>
    <cellStyle name="Note 2 6 4 2 2" xfId="3403" xr:uid="{00000000-0005-0000-0000-00002C3C0000}"/>
    <cellStyle name="Note 2 6 4 2 2 2" xfId="7466" xr:uid="{00000000-0005-0000-0000-00002D3C0000}"/>
    <cellStyle name="Note 2 6 4 2 2 2 2" xfId="17165" xr:uid="{00000000-0005-0000-0000-00002E3C0000}"/>
    <cellStyle name="Note 2 6 4 2 2 2 2 2" xfId="31997" xr:uid="{00000000-0005-0000-0000-00002F3C0000}"/>
    <cellStyle name="Note 2 6 4 2 2 2 3" xfId="23454" xr:uid="{00000000-0005-0000-0000-0000303C0000}"/>
    <cellStyle name="Note 2 6 4 2 2 3" xfId="13740" xr:uid="{00000000-0005-0000-0000-0000313C0000}"/>
    <cellStyle name="Note 2 6 4 2 2 3 2" xfId="28572" xr:uid="{00000000-0005-0000-0000-0000323C0000}"/>
    <cellStyle name="Note 2 6 4 2 2 4" xfId="10784" xr:uid="{00000000-0005-0000-0000-0000333C0000}"/>
    <cellStyle name="Note 2 6 4 2 2 4 2" xfId="25616" xr:uid="{00000000-0005-0000-0000-0000343C0000}"/>
    <cellStyle name="Note 2 6 4 2 2 5" xfId="21132" xr:uid="{00000000-0005-0000-0000-0000353C0000}"/>
    <cellStyle name="Note 2 6 4 2 3" xfId="5030" xr:uid="{00000000-0005-0000-0000-0000363C0000}"/>
    <cellStyle name="Note 2 6 4 2 3 2" xfId="9069" xr:uid="{00000000-0005-0000-0000-0000373C0000}"/>
    <cellStyle name="Note 2 6 4 2 3 2 2" xfId="18002" xr:uid="{00000000-0005-0000-0000-0000383C0000}"/>
    <cellStyle name="Note 2 6 4 2 3 2 2 2" xfId="32834" xr:uid="{00000000-0005-0000-0000-0000393C0000}"/>
    <cellStyle name="Note 2 6 4 2 3 2 3" xfId="24503" xr:uid="{00000000-0005-0000-0000-00003A3C0000}"/>
    <cellStyle name="Note 2 6 4 2 3 3" xfId="15351" xr:uid="{00000000-0005-0000-0000-00003B3C0000}"/>
    <cellStyle name="Note 2 6 4 2 3 3 2" xfId="30183" xr:uid="{00000000-0005-0000-0000-00003C3C0000}"/>
    <cellStyle name="Note 2 6 4 2 3 4" xfId="11602" xr:uid="{00000000-0005-0000-0000-00003D3C0000}"/>
    <cellStyle name="Note 2 6 4 2 3 4 2" xfId="26434" xr:uid="{00000000-0005-0000-0000-00003E3C0000}"/>
    <cellStyle name="Note 2 6 4 2 3 5" xfId="22023" xr:uid="{00000000-0005-0000-0000-00003F3C0000}"/>
    <cellStyle name="Note 2 6 4 2 4" xfId="3020" xr:uid="{00000000-0005-0000-0000-0000403C0000}"/>
    <cellStyle name="Note 2 6 4 2 4 2" xfId="7095" xr:uid="{00000000-0005-0000-0000-0000413C0000}"/>
    <cellStyle name="Note 2 6 4 2 4 2 2" xfId="16893" xr:uid="{00000000-0005-0000-0000-0000423C0000}"/>
    <cellStyle name="Note 2 6 4 2 4 2 2 2" xfId="31725" xr:uid="{00000000-0005-0000-0000-0000433C0000}"/>
    <cellStyle name="Note 2 6 4 2 4 2 3" xfId="23236" xr:uid="{00000000-0005-0000-0000-0000443C0000}"/>
    <cellStyle name="Note 2 6 4 2 4 3" xfId="13358" xr:uid="{00000000-0005-0000-0000-0000453C0000}"/>
    <cellStyle name="Note 2 6 4 2 4 3 2" xfId="28190" xr:uid="{00000000-0005-0000-0000-0000463C0000}"/>
    <cellStyle name="Note 2 6 4 2 4 4" xfId="10549" xr:uid="{00000000-0005-0000-0000-0000473C0000}"/>
    <cellStyle name="Note 2 6 4 2 4 4 2" xfId="25381" xr:uid="{00000000-0005-0000-0000-0000483C0000}"/>
    <cellStyle name="Note 2 6 4 2 4 5" xfId="20914" xr:uid="{00000000-0005-0000-0000-0000493C0000}"/>
    <cellStyle name="Note 2 6 4 2 5" xfId="6187" xr:uid="{00000000-0005-0000-0000-00004A3C0000}"/>
    <cellStyle name="Note 2 6 4 2 5 2" xfId="16373" xr:uid="{00000000-0005-0000-0000-00004B3C0000}"/>
    <cellStyle name="Note 2 6 4 2 5 2 2" xfId="31205" xr:uid="{00000000-0005-0000-0000-00004C3C0000}"/>
    <cellStyle name="Note 2 6 4 2 5 3" xfId="22687" xr:uid="{00000000-0005-0000-0000-00004D3C0000}"/>
    <cellStyle name="Note 2 6 4 2 6" xfId="12443" xr:uid="{00000000-0005-0000-0000-00004E3C0000}"/>
    <cellStyle name="Note 2 6 4 2 6 2" xfId="27275" xr:uid="{00000000-0005-0000-0000-00004F3C0000}"/>
    <cellStyle name="Note 2 6 4 2 7" xfId="10025" xr:uid="{00000000-0005-0000-0000-0000503C0000}"/>
    <cellStyle name="Note 2 6 4 2 7 2" xfId="24857" xr:uid="{00000000-0005-0000-0000-0000513C0000}"/>
    <cellStyle name="Note 2 6 4 2 8" xfId="20366" xr:uid="{00000000-0005-0000-0000-0000523C0000}"/>
    <cellStyle name="Note 2 6 4 3" xfId="3168" xr:uid="{00000000-0005-0000-0000-0000533C0000}"/>
    <cellStyle name="Note 2 6 4 3 2" xfId="7232" xr:uid="{00000000-0005-0000-0000-0000543C0000}"/>
    <cellStyle name="Note 2 6 4 3 2 2" xfId="17008" xr:uid="{00000000-0005-0000-0000-0000553C0000}"/>
    <cellStyle name="Note 2 6 4 3 2 2 2" xfId="31840" xr:uid="{00000000-0005-0000-0000-0000563C0000}"/>
    <cellStyle name="Note 2 6 4 3 2 3" xfId="23293" xr:uid="{00000000-0005-0000-0000-0000573C0000}"/>
    <cellStyle name="Note 2 6 4 3 3" xfId="13506" xr:uid="{00000000-0005-0000-0000-0000583C0000}"/>
    <cellStyle name="Note 2 6 4 3 3 2" xfId="28338" xr:uid="{00000000-0005-0000-0000-0000593C0000}"/>
    <cellStyle name="Note 2 6 4 3 4" xfId="10659" xr:uid="{00000000-0005-0000-0000-00005A3C0000}"/>
    <cellStyle name="Note 2 6 4 3 4 2" xfId="25491" xr:uid="{00000000-0005-0000-0000-00005B3C0000}"/>
    <cellStyle name="Note 2 6 4 3 5" xfId="20984" xr:uid="{00000000-0005-0000-0000-00005C3C0000}"/>
    <cellStyle name="Note 2 6 4 4" xfId="4610" xr:uid="{00000000-0005-0000-0000-00005D3C0000}"/>
    <cellStyle name="Note 2 6 4 4 2" xfId="8649" xr:uid="{00000000-0005-0000-0000-00005E3C0000}"/>
    <cellStyle name="Note 2 6 4 4 2 2" xfId="17762" xr:uid="{00000000-0005-0000-0000-00005F3C0000}"/>
    <cellStyle name="Note 2 6 4 4 2 2 2" xfId="32594" xr:uid="{00000000-0005-0000-0000-0000603C0000}"/>
    <cellStyle name="Note 2 6 4 4 2 3" xfId="24243" xr:uid="{00000000-0005-0000-0000-0000613C0000}"/>
    <cellStyle name="Note 2 6 4 4 3" xfId="14936" xr:uid="{00000000-0005-0000-0000-0000623C0000}"/>
    <cellStyle name="Note 2 6 4 4 3 2" xfId="29768" xr:uid="{00000000-0005-0000-0000-0000633C0000}"/>
    <cellStyle name="Note 2 6 4 4 4" xfId="11367" xr:uid="{00000000-0005-0000-0000-0000643C0000}"/>
    <cellStyle name="Note 2 6 4 4 4 2" xfId="26199" xr:uid="{00000000-0005-0000-0000-0000653C0000}"/>
    <cellStyle name="Note 2 6 4 4 5" xfId="21793" xr:uid="{00000000-0005-0000-0000-0000663C0000}"/>
    <cellStyle name="Note 2 6 4 5" xfId="2600" xr:uid="{00000000-0005-0000-0000-0000673C0000}"/>
    <cellStyle name="Note 2 6 4 5 2" xfId="6701" xr:uid="{00000000-0005-0000-0000-0000683C0000}"/>
    <cellStyle name="Note 2 6 4 5 2 2" xfId="16658" xr:uid="{00000000-0005-0000-0000-0000693C0000}"/>
    <cellStyle name="Note 2 6 4 5 2 2 2" xfId="31490" xr:uid="{00000000-0005-0000-0000-00006A3C0000}"/>
    <cellStyle name="Note 2 6 4 5 2 3" xfId="23006" xr:uid="{00000000-0005-0000-0000-00006B3C0000}"/>
    <cellStyle name="Note 2 6 4 5 3" xfId="12938" xr:uid="{00000000-0005-0000-0000-00006C3C0000}"/>
    <cellStyle name="Note 2 6 4 5 3 2" xfId="27770" xr:uid="{00000000-0005-0000-0000-00006D3C0000}"/>
    <cellStyle name="Note 2 6 4 5 4" xfId="10309" xr:uid="{00000000-0005-0000-0000-00006E3C0000}"/>
    <cellStyle name="Note 2 6 4 5 4 2" xfId="25141" xr:uid="{00000000-0005-0000-0000-00006F3C0000}"/>
    <cellStyle name="Note 2 6 4 5 5" xfId="20654" xr:uid="{00000000-0005-0000-0000-0000703C0000}"/>
    <cellStyle name="Note 2 6 4 6" xfId="5717" xr:uid="{00000000-0005-0000-0000-0000713C0000}"/>
    <cellStyle name="Note 2 6 4 6 2" xfId="15952" xr:uid="{00000000-0005-0000-0000-0000723C0000}"/>
    <cellStyle name="Note 2 6 4 6 2 2" xfId="30784" xr:uid="{00000000-0005-0000-0000-0000733C0000}"/>
    <cellStyle name="Note 2 6 4 6 3" xfId="22381" xr:uid="{00000000-0005-0000-0000-0000743C0000}"/>
    <cellStyle name="Note 2 6 4 7" xfId="11972" xr:uid="{00000000-0005-0000-0000-0000753C0000}"/>
    <cellStyle name="Note 2 6 4 7 2" xfId="26804" xr:uid="{00000000-0005-0000-0000-0000763C0000}"/>
    <cellStyle name="Note 2 6 4 8" xfId="9631" xr:uid="{00000000-0005-0000-0000-0000773C0000}"/>
    <cellStyle name="Note 2 6 4 8 2" xfId="19932" xr:uid="{00000000-0005-0000-0000-0000783C0000}"/>
    <cellStyle name="Note 2 6 5" xfId="1615" xr:uid="{00000000-0005-0000-0000-0000793C0000}"/>
    <cellStyle name="Note 2 6 5 2" xfId="2112" xr:uid="{00000000-0005-0000-0000-00007A3C0000}"/>
    <cellStyle name="Note 2 6 5 2 2" xfId="3413" xr:uid="{00000000-0005-0000-0000-00007B3C0000}"/>
    <cellStyle name="Note 2 6 5 2 2 2" xfId="7476" xr:uid="{00000000-0005-0000-0000-00007C3C0000}"/>
    <cellStyle name="Note 2 6 5 2 2 2 2" xfId="17175" xr:uid="{00000000-0005-0000-0000-00007D3C0000}"/>
    <cellStyle name="Note 2 6 5 2 2 2 2 2" xfId="32007" xr:uid="{00000000-0005-0000-0000-00007E3C0000}"/>
    <cellStyle name="Note 2 6 5 2 2 2 3" xfId="23462" xr:uid="{00000000-0005-0000-0000-00007F3C0000}"/>
    <cellStyle name="Note 2 6 5 2 2 3" xfId="13750" xr:uid="{00000000-0005-0000-0000-0000803C0000}"/>
    <cellStyle name="Note 2 6 5 2 2 3 2" xfId="28582" xr:uid="{00000000-0005-0000-0000-0000813C0000}"/>
    <cellStyle name="Note 2 6 5 2 2 4" xfId="10794" xr:uid="{00000000-0005-0000-0000-0000823C0000}"/>
    <cellStyle name="Note 2 6 5 2 2 4 2" xfId="25626" xr:uid="{00000000-0005-0000-0000-0000833C0000}"/>
    <cellStyle name="Note 2 6 5 2 2 5" xfId="21140" xr:uid="{00000000-0005-0000-0000-0000843C0000}"/>
    <cellStyle name="Note 2 6 5 2 3" xfId="5080" xr:uid="{00000000-0005-0000-0000-0000853C0000}"/>
    <cellStyle name="Note 2 6 5 2 3 2" xfId="9119" xr:uid="{00000000-0005-0000-0000-0000863C0000}"/>
    <cellStyle name="Note 2 6 5 2 3 2 2" xfId="18047" xr:uid="{00000000-0005-0000-0000-0000873C0000}"/>
    <cellStyle name="Note 2 6 5 2 3 2 2 2" xfId="32879" xr:uid="{00000000-0005-0000-0000-0000883C0000}"/>
    <cellStyle name="Note 2 6 5 2 3 2 3" xfId="24521" xr:uid="{00000000-0005-0000-0000-0000893C0000}"/>
    <cellStyle name="Note 2 6 5 2 3 3" xfId="15400" xr:uid="{00000000-0005-0000-0000-00008A3C0000}"/>
    <cellStyle name="Note 2 6 5 2 3 3 2" xfId="30232" xr:uid="{00000000-0005-0000-0000-00008B3C0000}"/>
    <cellStyle name="Note 2 6 5 2 3 4" xfId="11646" xr:uid="{00000000-0005-0000-0000-00008C3C0000}"/>
    <cellStyle name="Note 2 6 5 2 3 4 2" xfId="26478" xr:uid="{00000000-0005-0000-0000-00008D3C0000}"/>
    <cellStyle name="Note 2 6 5 2 3 5" xfId="22035" xr:uid="{00000000-0005-0000-0000-00008E3C0000}"/>
    <cellStyle name="Note 2 6 5 2 4" xfId="3070" xr:uid="{00000000-0005-0000-0000-00008F3C0000}"/>
    <cellStyle name="Note 2 6 5 2 4 2" xfId="7140" xr:uid="{00000000-0005-0000-0000-0000903C0000}"/>
    <cellStyle name="Note 2 6 5 2 4 2 2" xfId="16937" xr:uid="{00000000-0005-0000-0000-0000913C0000}"/>
    <cellStyle name="Note 2 6 5 2 4 2 2 2" xfId="31769" xr:uid="{00000000-0005-0000-0000-0000923C0000}"/>
    <cellStyle name="Note 2 6 5 2 4 2 3" xfId="23248" xr:uid="{00000000-0005-0000-0000-0000933C0000}"/>
    <cellStyle name="Note 2 6 5 2 4 3" xfId="13408" xr:uid="{00000000-0005-0000-0000-0000943C0000}"/>
    <cellStyle name="Note 2 6 5 2 4 3 2" xfId="28240" xr:uid="{00000000-0005-0000-0000-0000953C0000}"/>
    <cellStyle name="Note 2 6 5 2 4 4" xfId="10594" xr:uid="{00000000-0005-0000-0000-0000963C0000}"/>
    <cellStyle name="Note 2 6 5 2 4 4 2" xfId="25426" xr:uid="{00000000-0005-0000-0000-0000973C0000}"/>
    <cellStyle name="Note 2 6 5 2 4 5" xfId="20932" xr:uid="{00000000-0005-0000-0000-0000983C0000}"/>
    <cellStyle name="Note 2 6 5 2 5" xfId="6232" xr:uid="{00000000-0005-0000-0000-0000993C0000}"/>
    <cellStyle name="Note 2 6 5 2 5 2" xfId="16417" xr:uid="{00000000-0005-0000-0000-00009A3C0000}"/>
    <cellStyle name="Note 2 6 5 2 5 2 2" xfId="31249" xr:uid="{00000000-0005-0000-0000-00009B3C0000}"/>
    <cellStyle name="Note 2 6 5 2 5 3" xfId="22699" xr:uid="{00000000-0005-0000-0000-00009C3C0000}"/>
    <cellStyle name="Note 2 6 5 2 6" xfId="12487" xr:uid="{00000000-0005-0000-0000-00009D3C0000}"/>
    <cellStyle name="Note 2 6 5 2 6 2" xfId="27319" xr:uid="{00000000-0005-0000-0000-00009E3C0000}"/>
    <cellStyle name="Note 2 6 5 2 7" xfId="10069" xr:uid="{00000000-0005-0000-0000-00009F3C0000}"/>
    <cellStyle name="Note 2 6 5 2 7 2" xfId="24901" xr:uid="{00000000-0005-0000-0000-0000A03C0000}"/>
    <cellStyle name="Note 2 6 5 2 8" xfId="20378" xr:uid="{00000000-0005-0000-0000-0000A13C0000}"/>
    <cellStyle name="Note 2 6 5 3" xfId="3971" xr:uid="{00000000-0005-0000-0000-0000A23C0000}"/>
    <cellStyle name="Note 2 6 5 3 2" xfId="8020" xr:uid="{00000000-0005-0000-0000-0000A33C0000}"/>
    <cellStyle name="Note 2 6 5 3 2 2" xfId="17453" xr:uid="{00000000-0005-0000-0000-0000A43C0000}"/>
    <cellStyle name="Note 2 6 5 3 2 2 2" xfId="32285" xr:uid="{00000000-0005-0000-0000-0000A53C0000}"/>
    <cellStyle name="Note 2 6 5 3 2 3" xfId="23813" xr:uid="{00000000-0005-0000-0000-0000A63C0000}"/>
    <cellStyle name="Note 2 6 5 3 3" xfId="14304" xr:uid="{00000000-0005-0000-0000-0000A73C0000}"/>
    <cellStyle name="Note 2 6 5 3 3 2" xfId="29136" xr:uid="{00000000-0005-0000-0000-0000A83C0000}"/>
    <cellStyle name="Note 2 6 5 3 4" xfId="11069" xr:uid="{00000000-0005-0000-0000-0000A93C0000}"/>
    <cellStyle name="Note 2 6 5 3 4 2" xfId="25901" xr:uid="{00000000-0005-0000-0000-0000AA3C0000}"/>
    <cellStyle name="Note 2 6 5 3 5" xfId="21451" xr:uid="{00000000-0005-0000-0000-0000AB3C0000}"/>
    <cellStyle name="Note 2 6 5 4" xfId="4660" xr:uid="{00000000-0005-0000-0000-0000AC3C0000}"/>
    <cellStyle name="Note 2 6 5 4 2" xfId="8699" xr:uid="{00000000-0005-0000-0000-0000AD3C0000}"/>
    <cellStyle name="Note 2 6 5 4 2 2" xfId="17807" xr:uid="{00000000-0005-0000-0000-0000AE3C0000}"/>
    <cellStyle name="Note 2 6 5 4 2 2 2" xfId="32639" xr:uid="{00000000-0005-0000-0000-0000AF3C0000}"/>
    <cellStyle name="Note 2 6 5 4 2 3" xfId="24261" xr:uid="{00000000-0005-0000-0000-0000B03C0000}"/>
    <cellStyle name="Note 2 6 5 4 3" xfId="14985" xr:uid="{00000000-0005-0000-0000-0000B13C0000}"/>
    <cellStyle name="Note 2 6 5 4 3 2" xfId="29817" xr:uid="{00000000-0005-0000-0000-0000B23C0000}"/>
    <cellStyle name="Note 2 6 5 4 4" xfId="11411" xr:uid="{00000000-0005-0000-0000-0000B33C0000}"/>
    <cellStyle name="Note 2 6 5 4 4 2" xfId="26243" xr:uid="{00000000-0005-0000-0000-0000B43C0000}"/>
    <cellStyle name="Note 2 6 5 4 5" xfId="21805" xr:uid="{00000000-0005-0000-0000-0000B53C0000}"/>
    <cellStyle name="Note 2 6 5 5" xfId="2650" xr:uid="{00000000-0005-0000-0000-0000B63C0000}"/>
    <cellStyle name="Note 2 6 5 5 2" xfId="6746" xr:uid="{00000000-0005-0000-0000-0000B73C0000}"/>
    <cellStyle name="Note 2 6 5 5 2 2" xfId="16702" xr:uid="{00000000-0005-0000-0000-0000B83C0000}"/>
    <cellStyle name="Note 2 6 5 5 2 2 2" xfId="31534" xr:uid="{00000000-0005-0000-0000-0000B93C0000}"/>
    <cellStyle name="Note 2 6 5 5 2 3" xfId="23018" xr:uid="{00000000-0005-0000-0000-0000BA3C0000}"/>
    <cellStyle name="Note 2 6 5 5 3" xfId="12988" xr:uid="{00000000-0005-0000-0000-0000BB3C0000}"/>
    <cellStyle name="Note 2 6 5 5 3 2" xfId="27820" xr:uid="{00000000-0005-0000-0000-0000BC3C0000}"/>
    <cellStyle name="Note 2 6 5 5 4" xfId="10354" xr:uid="{00000000-0005-0000-0000-0000BD3C0000}"/>
    <cellStyle name="Note 2 6 5 5 4 2" xfId="25186" xr:uid="{00000000-0005-0000-0000-0000BE3C0000}"/>
    <cellStyle name="Note 2 6 5 5 5" xfId="20672" xr:uid="{00000000-0005-0000-0000-0000BF3C0000}"/>
    <cellStyle name="Note 2 6 5 6" xfId="5762" xr:uid="{00000000-0005-0000-0000-0000C03C0000}"/>
    <cellStyle name="Note 2 6 5 6 2" xfId="15996" xr:uid="{00000000-0005-0000-0000-0000C13C0000}"/>
    <cellStyle name="Note 2 6 5 6 2 2" xfId="30828" xr:uid="{00000000-0005-0000-0000-0000C23C0000}"/>
    <cellStyle name="Note 2 6 5 6 3" xfId="22393" xr:uid="{00000000-0005-0000-0000-0000C33C0000}"/>
    <cellStyle name="Note 2 6 5 7" xfId="12016" xr:uid="{00000000-0005-0000-0000-0000C43C0000}"/>
    <cellStyle name="Note 2 6 5 7 2" xfId="26848" xr:uid="{00000000-0005-0000-0000-0000C53C0000}"/>
    <cellStyle name="Note 2 6 5 8" xfId="9676" xr:uid="{00000000-0005-0000-0000-0000C63C0000}"/>
    <cellStyle name="Note 2 6 5 8 2" xfId="19976" xr:uid="{00000000-0005-0000-0000-0000C73C0000}"/>
    <cellStyle name="Note 2 6 6" xfId="1766" xr:uid="{00000000-0005-0000-0000-0000C83C0000}"/>
    <cellStyle name="Note 2 6 6 2" xfId="4125" xr:uid="{00000000-0005-0000-0000-0000C93C0000}"/>
    <cellStyle name="Note 2 6 6 2 2" xfId="8169" xr:uid="{00000000-0005-0000-0000-0000CA3C0000}"/>
    <cellStyle name="Note 2 6 6 2 2 2" xfId="17531" xr:uid="{00000000-0005-0000-0000-0000CB3C0000}"/>
    <cellStyle name="Note 2 6 6 2 2 2 2" xfId="32363" xr:uid="{00000000-0005-0000-0000-0000CC3C0000}"/>
    <cellStyle name="Note 2 6 6 2 2 3" xfId="23904" xr:uid="{00000000-0005-0000-0000-0000CD3C0000}"/>
    <cellStyle name="Note 2 6 6 2 3" xfId="14457" xr:uid="{00000000-0005-0000-0000-0000CE3C0000}"/>
    <cellStyle name="Note 2 6 6 2 3 2" xfId="29289" xr:uid="{00000000-0005-0000-0000-0000CF3C0000}"/>
    <cellStyle name="Note 2 6 6 2 4" xfId="11149" xr:uid="{00000000-0005-0000-0000-0000D03C0000}"/>
    <cellStyle name="Note 2 6 6 2 4 2" xfId="25981" xr:uid="{00000000-0005-0000-0000-0000D13C0000}"/>
    <cellStyle name="Note 2 6 6 2 5" xfId="21531" xr:uid="{00000000-0005-0000-0000-0000D23C0000}"/>
    <cellStyle name="Note 2 6 6 3" xfId="4744" xr:uid="{00000000-0005-0000-0000-0000D33C0000}"/>
    <cellStyle name="Note 2 6 6 3 2" xfId="8783" xr:uid="{00000000-0005-0000-0000-0000D43C0000}"/>
    <cellStyle name="Note 2 6 6 3 2 2" xfId="17855" xr:uid="{00000000-0005-0000-0000-0000D53C0000}"/>
    <cellStyle name="Note 2 6 6 3 2 2 2" xfId="32687" xr:uid="{00000000-0005-0000-0000-0000D63C0000}"/>
    <cellStyle name="Note 2 6 6 3 2 3" xfId="24313" xr:uid="{00000000-0005-0000-0000-0000D73C0000}"/>
    <cellStyle name="Note 2 6 6 3 3" xfId="15068" xr:uid="{00000000-0005-0000-0000-0000D83C0000}"/>
    <cellStyle name="Note 2 6 6 3 3 2" xfId="29900" xr:uid="{00000000-0005-0000-0000-0000D93C0000}"/>
    <cellStyle name="Note 2 6 6 3 4" xfId="11458" xr:uid="{00000000-0005-0000-0000-0000DA3C0000}"/>
    <cellStyle name="Note 2 6 6 3 4 2" xfId="26290" xr:uid="{00000000-0005-0000-0000-0000DB3C0000}"/>
    <cellStyle name="Note 2 6 6 3 5" xfId="21851" xr:uid="{00000000-0005-0000-0000-0000DC3C0000}"/>
    <cellStyle name="Note 2 6 6 4" xfId="2734" xr:uid="{00000000-0005-0000-0000-0000DD3C0000}"/>
    <cellStyle name="Note 2 6 6 4 2" xfId="6825" xr:uid="{00000000-0005-0000-0000-0000DE3C0000}"/>
    <cellStyle name="Note 2 6 6 4 2 2" xfId="16749" xr:uid="{00000000-0005-0000-0000-0000DF3C0000}"/>
    <cellStyle name="Note 2 6 6 4 2 2 2" xfId="31581" xr:uid="{00000000-0005-0000-0000-0000E03C0000}"/>
    <cellStyle name="Note 2 6 6 4 2 3" xfId="23064" xr:uid="{00000000-0005-0000-0000-0000E13C0000}"/>
    <cellStyle name="Note 2 6 6 4 3" xfId="13072" xr:uid="{00000000-0005-0000-0000-0000E23C0000}"/>
    <cellStyle name="Note 2 6 6 4 3 2" xfId="27904" xr:uid="{00000000-0005-0000-0000-0000E33C0000}"/>
    <cellStyle name="Note 2 6 6 4 4" xfId="10402" xr:uid="{00000000-0005-0000-0000-0000E43C0000}"/>
    <cellStyle name="Note 2 6 6 4 4 2" xfId="25234" xr:uid="{00000000-0005-0000-0000-0000E53C0000}"/>
    <cellStyle name="Note 2 6 6 4 5" xfId="20724" xr:uid="{00000000-0005-0000-0000-0000E63C0000}"/>
    <cellStyle name="Note 2 6 6 5" xfId="5898" xr:uid="{00000000-0005-0000-0000-0000E73C0000}"/>
    <cellStyle name="Note 2 6 6 5 2" xfId="16090" xr:uid="{00000000-0005-0000-0000-0000E83C0000}"/>
    <cellStyle name="Note 2 6 6 5 2 2" xfId="30922" xr:uid="{00000000-0005-0000-0000-0000E93C0000}"/>
    <cellStyle name="Note 2 6 6 5 3" xfId="22495" xr:uid="{00000000-0005-0000-0000-0000EA3C0000}"/>
    <cellStyle name="Note 2 6 6 6" xfId="12160" xr:uid="{00000000-0005-0000-0000-0000EB3C0000}"/>
    <cellStyle name="Note 2 6 6 6 2" xfId="26992" xr:uid="{00000000-0005-0000-0000-0000EC3C0000}"/>
    <cellStyle name="Note 2 6 6 7" xfId="9756" xr:uid="{00000000-0005-0000-0000-0000ED3C0000}"/>
    <cellStyle name="Note 2 6 6 7 2" xfId="24713" xr:uid="{00000000-0005-0000-0000-0000EE3C0000}"/>
    <cellStyle name="Note 2 6 6 8" xfId="20303" xr:uid="{00000000-0005-0000-0000-0000EF3C0000}"/>
    <cellStyle name="Note 2 6 7" xfId="2200" xr:uid="{00000000-0005-0000-0000-0000F03C0000}"/>
    <cellStyle name="Note 2 6 7 2" xfId="3232" xr:uid="{00000000-0005-0000-0000-0000F13C0000}"/>
    <cellStyle name="Note 2 6 7 2 2" xfId="7296" xr:uid="{00000000-0005-0000-0000-0000F23C0000}"/>
    <cellStyle name="Note 2 6 7 2 2 2" xfId="17056" xr:uid="{00000000-0005-0000-0000-0000F33C0000}"/>
    <cellStyle name="Note 2 6 7 2 2 2 2" xfId="31888" xr:uid="{00000000-0005-0000-0000-0000F43C0000}"/>
    <cellStyle name="Note 2 6 7 2 2 3" xfId="23336" xr:uid="{00000000-0005-0000-0000-0000F53C0000}"/>
    <cellStyle name="Note 2 6 7 2 3" xfId="13570" xr:uid="{00000000-0005-0000-0000-0000F63C0000}"/>
    <cellStyle name="Note 2 6 7 2 3 2" xfId="28402" xr:uid="{00000000-0005-0000-0000-0000F73C0000}"/>
    <cellStyle name="Note 2 6 7 2 4" xfId="10695" xr:uid="{00000000-0005-0000-0000-0000F83C0000}"/>
    <cellStyle name="Note 2 6 7 2 4 2" xfId="25527" xr:uid="{00000000-0005-0000-0000-0000F93C0000}"/>
    <cellStyle name="Note 2 6 7 2 5" xfId="21025" xr:uid="{00000000-0005-0000-0000-0000FA3C0000}"/>
    <cellStyle name="Note 2 6 7 3" xfId="5168" xr:uid="{00000000-0005-0000-0000-0000FB3C0000}"/>
    <cellStyle name="Note 2 6 7 3 2" xfId="9207" xr:uid="{00000000-0005-0000-0000-0000FC3C0000}"/>
    <cellStyle name="Note 2 6 7 3 2 2" xfId="18130" xr:uid="{00000000-0005-0000-0000-0000FD3C0000}"/>
    <cellStyle name="Note 2 6 7 3 2 2 2" xfId="32962" xr:uid="{00000000-0005-0000-0000-0000FE3C0000}"/>
    <cellStyle name="Note 2 6 7 3 2 3" xfId="24545" xr:uid="{00000000-0005-0000-0000-0000FF3C0000}"/>
    <cellStyle name="Note 2 6 7 3 3" xfId="15486" xr:uid="{00000000-0005-0000-0000-0000003D0000}"/>
    <cellStyle name="Note 2 6 7 3 3 2" xfId="30318" xr:uid="{00000000-0005-0000-0000-0000013D0000}"/>
    <cellStyle name="Note 2 6 7 3 4" xfId="11727" xr:uid="{00000000-0005-0000-0000-0000023D0000}"/>
    <cellStyle name="Note 2 6 7 3 4 2" xfId="26559" xr:uid="{00000000-0005-0000-0000-0000033D0000}"/>
    <cellStyle name="Note 2 6 7 3 5" xfId="22052" xr:uid="{00000000-0005-0000-0000-0000043D0000}"/>
    <cellStyle name="Note 2 6 7 4" xfId="4198" xr:uid="{00000000-0005-0000-0000-0000053D0000}"/>
    <cellStyle name="Note 2 6 7 4 2" xfId="8239" xr:uid="{00000000-0005-0000-0000-0000063D0000}"/>
    <cellStyle name="Note 2 6 7 4 2 2" xfId="17586" xr:uid="{00000000-0005-0000-0000-0000073D0000}"/>
    <cellStyle name="Note 2 6 7 4 2 2 2" xfId="32418" xr:uid="{00000000-0005-0000-0000-0000083D0000}"/>
    <cellStyle name="Note 2 6 7 4 2 3" xfId="23934" xr:uid="{00000000-0005-0000-0000-0000093D0000}"/>
    <cellStyle name="Note 2 6 7 4 3" xfId="14530" xr:uid="{00000000-0005-0000-0000-00000A3D0000}"/>
    <cellStyle name="Note 2 6 7 4 3 2" xfId="29362" xr:uid="{00000000-0005-0000-0000-00000B3D0000}"/>
    <cellStyle name="Note 2 6 7 4 4" xfId="11206" xr:uid="{00000000-0005-0000-0000-00000C3D0000}"/>
    <cellStyle name="Note 2 6 7 4 4 2" xfId="26038" xr:uid="{00000000-0005-0000-0000-00000D3D0000}"/>
    <cellStyle name="Note 2 6 7 4 5" xfId="21559" xr:uid="{00000000-0005-0000-0000-00000E3D0000}"/>
    <cellStyle name="Note 2 6 7 5" xfId="6314" xr:uid="{00000000-0005-0000-0000-00000F3D0000}"/>
    <cellStyle name="Note 2 6 7 5 2" xfId="16498" xr:uid="{00000000-0005-0000-0000-0000103D0000}"/>
    <cellStyle name="Note 2 6 7 5 2 2" xfId="31330" xr:uid="{00000000-0005-0000-0000-0000113D0000}"/>
    <cellStyle name="Note 2 6 7 5 3" xfId="22716" xr:uid="{00000000-0005-0000-0000-0000123D0000}"/>
    <cellStyle name="Note 2 6 7 6" xfId="12568" xr:uid="{00000000-0005-0000-0000-0000133D0000}"/>
    <cellStyle name="Note 2 6 7 6 2" xfId="27400" xr:uid="{00000000-0005-0000-0000-0000143D0000}"/>
    <cellStyle name="Note 2 6 7 7" xfId="10150" xr:uid="{00000000-0005-0000-0000-0000153D0000}"/>
    <cellStyle name="Note 2 6 7 7 2" xfId="24982" xr:uid="{00000000-0005-0000-0000-0000163D0000}"/>
    <cellStyle name="Note 2 6 7 8" xfId="20395" xr:uid="{00000000-0005-0000-0000-0000173D0000}"/>
    <cellStyle name="Note 2 6 8" xfId="3330" xr:uid="{00000000-0005-0000-0000-0000183D0000}"/>
    <cellStyle name="Note 2 6 8 2" xfId="7393" xr:uid="{00000000-0005-0000-0000-0000193D0000}"/>
    <cellStyle name="Note 2 6 8 2 2" xfId="17126" xr:uid="{00000000-0005-0000-0000-00001A3D0000}"/>
    <cellStyle name="Note 2 6 8 2 2 2" xfId="31958" xr:uid="{00000000-0005-0000-0000-00001B3D0000}"/>
    <cellStyle name="Note 2 6 8 2 3" xfId="23402" xr:uid="{00000000-0005-0000-0000-00001C3D0000}"/>
    <cellStyle name="Note 2 6 8 3" xfId="13667" xr:uid="{00000000-0005-0000-0000-00001D3D0000}"/>
    <cellStyle name="Note 2 6 8 3 2" xfId="28499" xr:uid="{00000000-0005-0000-0000-00001E3D0000}"/>
    <cellStyle name="Note 2 6 8 4" xfId="10747" xr:uid="{00000000-0005-0000-0000-00001F3D0000}"/>
    <cellStyle name="Note 2 6 8 4 2" xfId="25579" xr:uid="{00000000-0005-0000-0000-0000203D0000}"/>
    <cellStyle name="Note 2 6 8 5" xfId="21090" xr:uid="{00000000-0005-0000-0000-0000213D0000}"/>
    <cellStyle name="Note 2 6 9" xfId="3691" xr:uid="{00000000-0005-0000-0000-0000223D0000}"/>
    <cellStyle name="Note 2 6 9 2" xfId="7747" xr:uid="{00000000-0005-0000-0000-0000233D0000}"/>
    <cellStyle name="Note 2 6 9 2 2" xfId="17317" xr:uid="{00000000-0005-0000-0000-0000243D0000}"/>
    <cellStyle name="Note 2 6 9 2 2 2" xfId="32149" xr:uid="{00000000-0005-0000-0000-0000253D0000}"/>
    <cellStyle name="Note 2 6 9 2 3" xfId="23634" xr:uid="{00000000-0005-0000-0000-0000263D0000}"/>
    <cellStyle name="Note 2 6 9 3" xfId="14026" xr:uid="{00000000-0005-0000-0000-0000273D0000}"/>
    <cellStyle name="Note 2 6 9 3 2" xfId="28858" xr:uid="{00000000-0005-0000-0000-0000283D0000}"/>
    <cellStyle name="Note 2 6 9 4" xfId="10935" xr:uid="{00000000-0005-0000-0000-0000293D0000}"/>
    <cellStyle name="Note 2 6 9 4 2" xfId="25767" xr:uid="{00000000-0005-0000-0000-00002A3D0000}"/>
    <cellStyle name="Note 2 6 9 5" xfId="21295" xr:uid="{00000000-0005-0000-0000-00002B3D0000}"/>
    <cellStyle name="Note 2 7" xfId="1222" xr:uid="{00000000-0005-0000-0000-00002C3D0000}"/>
    <cellStyle name="Note 2 7 10" xfId="2308" xr:uid="{00000000-0005-0000-0000-00002D3D0000}"/>
    <cellStyle name="Note 2 7 10 2" xfId="6420" xr:uid="{00000000-0005-0000-0000-00002E3D0000}"/>
    <cellStyle name="Note 2 7 10 2 2" xfId="16513" xr:uid="{00000000-0005-0000-0000-00002F3D0000}"/>
    <cellStyle name="Note 2 7 10 2 2 2" xfId="31345" xr:uid="{00000000-0005-0000-0000-0000303D0000}"/>
    <cellStyle name="Note 2 7 10 2 3" xfId="22822" xr:uid="{00000000-0005-0000-0000-0000313D0000}"/>
    <cellStyle name="Note 2 7 10 3" xfId="12648" xr:uid="{00000000-0005-0000-0000-0000323D0000}"/>
    <cellStyle name="Note 2 7 10 3 2" xfId="27480" xr:uid="{00000000-0005-0000-0000-0000333D0000}"/>
    <cellStyle name="Note 2 7 10 4" xfId="10164" xr:uid="{00000000-0005-0000-0000-0000343D0000}"/>
    <cellStyle name="Note 2 7 10 4 2" xfId="24996" xr:uid="{00000000-0005-0000-0000-0000353D0000}"/>
    <cellStyle name="Note 2 7 10 5" xfId="20471" xr:uid="{00000000-0005-0000-0000-0000363D0000}"/>
    <cellStyle name="Note 2 7 11" xfId="5271" xr:uid="{00000000-0005-0000-0000-0000373D0000}"/>
    <cellStyle name="Note 2 7 11 2" xfId="9279" xr:uid="{00000000-0005-0000-0000-0000383D0000}"/>
    <cellStyle name="Note 2 7 11 2 2" xfId="18146" xr:uid="{00000000-0005-0000-0000-0000393D0000}"/>
    <cellStyle name="Note 2 7 11 2 2 2" xfId="32978" xr:uid="{00000000-0005-0000-0000-00003A3D0000}"/>
    <cellStyle name="Note 2 7 11 2 3" xfId="24617" xr:uid="{00000000-0005-0000-0000-00003B3D0000}"/>
    <cellStyle name="Note 2 7 11 3" xfId="15587" xr:uid="{00000000-0005-0000-0000-00003C3D0000}"/>
    <cellStyle name="Note 2 7 11 3 2" xfId="30419" xr:uid="{00000000-0005-0000-0000-00003D3D0000}"/>
    <cellStyle name="Note 2 7 11 4" xfId="22128" xr:uid="{00000000-0005-0000-0000-00003E3D0000}"/>
    <cellStyle name="Note 2 7 12" xfId="5429" xr:uid="{00000000-0005-0000-0000-00003F3D0000}"/>
    <cellStyle name="Note 2 7 12 2" xfId="15665" xr:uid="{00000000-0005-0000-0000-0000403D0000}"/>
    <cellStyle name="Note 2 7 12 2 2" xfId="30497" xr:uid="{00000000-0005-0000-0000-0000413D0000}"/>
    <cellStyle name="Note 2 7 12 3" xfId="22190" xr:uid="{00000000-0005-0000-0000-0000423D0000}"/>
    <cellStyle name="Note 2 7 13" xfId="9362" xr:uid="{00000000-0005-0000-0000-0000433D0000}"/>
    <cellStyle name="Note 2 7 13 2" xfId="24668" xr:uid="{00000000-0005-0000-0000-0000443D0000}"/>
    <cellStyle name="Note 2 7 14" xfId="5351" xr:uid="{00000000-0005-0000-0000-0000453D0000}"/>
    <cellStyle name="Note 2 7 14 2" xfId="18225" xr:uid="{00000000-0005-0000-0000-0000463D0000}"/>
    <cellStyle name="Note 2 7 2" xfId="1341" xr:uid="{00000000-0005-0000-0000-0000473D0000}"/>
    <cellStyle name="Note 2 7 2 2" xfId="1845" xr:uid="{00000000-0005-0000-0000-0000483D0000}"/>
    <cellStyle name="Note 2 7 2 2 2" xfId="3708" xr:uid="{00000000-0005-0000-0000-0000493D0000}"/>
    <cellStyle name="Note 2 7 2 2 2 2" xfId="7764" xr:uid="{00000000-0005-0000-0000-00004A3D0000}"/>
    <cellStyle name="Note 2 7 2 2 2 2 2" xfId="17328" xr:uid="{00000000-0005-0000-0000-00004B3D0000}"/>
    <cellStyle name="Note 2 7 2 2 2 2 2 2" xfId="32160" xr:uid="{00000000-0005-0000-0000-00004C3D0000}"/>
    <cellStyle name="Note 2 7 2 2 2 2 3" xfId="23646" xr:uid="{00000000-0005-0000-0000-00004D3D0000}"/>
    <cellStyle name="Note 2 7 2 2 2 3" xfId="14043" xr:uid="{00000000-0005-0000-0000-00004E3D0000}"/>
    <cellStyle name="Note 2 7 2 2 2 3 2" xfId="28875" xr:uid="{00000000-0005-0000-0000-00004F3D0000}"/>
    <cellStyle name="Note 2 7 2 2 2 4" xfId="10946" xr:uid="{00000000-0005-0000-0000-0000503D0000}"/>
    <cellStyle name="Note 2 7 2 2 2 4 2" xfId="25778" xr:uid="{00000000-0005-0000-0000-0000513D0000}"/>
    <cellStyle name="Note 2 7 2 2 2 5" xfId="21306" xr:uid="{00000000-0005-0000-0000-0000523D0000}"/>
    <cellStyle name="Note 2 7 2 2 3" xfId="4823" xr:uid="{00000000-0005-0000-0000-0000533D0000}"/>
    <cellStyle name="Note 2 7 2 2 3 2" xfId="8862" xr:uid="{00000000-0005-0000-0000-0000543D0000}"/>
    <cellStyle name="Note 2 7 2 2 3 2 2" xfId="17903" xr:uid="{00000000-0005-0000-0000-0000553D0000}"/>
    <cellStyle name="Note 2 7 2 2 3 2 2 2" xfId="32735" xr:uid="{00000000-0005-0000-0000-0000563D0000}"/>
    <cellStyle name="Note 2 7 2 2 3 2 3" xfId="24360" xr:uid="{00000000-0005-0000-0000-0000573D0000}"/>
    <cellStyle name="Note 2 7 2 2 3 3" xfId="15147" xr:uid="{00000000-0005-0000-0000-0000583D0000}"/>
    <cellStyle name="Note 2 7 2 2 3 3 2" xfId="29979" xr:uid="{00000000-0005-0000-0000-0000593D0000}"/>
    <cellStyle name="Note 2 7 2 2 3 4" xfId="11506" xr:uid="{00000000-0005-0000-0000-00005A3D0000}"/>
    <cellStyle name="Note 2 7 2 2 3 4 2" xfId="26338" xr:uid="{00000000-0005-0000-0000-00005B3D0000}"/>
    <cellStyle name="Note 2 7 2 2 3 5" xfId="21898" xr:uid="{00000000-0005-0000-0000-00005C3D0000}"/>
    <cellStyle name="Note 2 7 2 2 4" xfId="2813" xr:uid="{00000000-0005-0000-0000-00005D3D0000}"/>
    <cellStyle name="Note 2 7 2 2 4 2" xfId="6904" xr:uid="{00000000-0005-0000-0000-00005E3D0000}"/>
    <cellStyle name="Note 2 7 2 2 4 2 2" xfId="16797" xr:uid="{00000000-0005-0000-0000-00005F3D0000}"/>
    <cellStyle name="Note 2 7 2 2 4 2 2 2" xfId="31629" xr:uid="{00000000-0005-0000-0000-0000603D0000}"/>
    <cellStyle name="Note 2 7 2 2 4 2 3" xfId="23111" xr:uid="{00000000-0005-0000-0000-0000613D0000}"/>
    <cellStyle name="Note 2 7 2 2 4 3" xfId="13151" xr:uid="{00000000-0005-0000-0000-0000623D0000}"/>
    <cellStyle name="Note 2 7 2 2 4 3 2" xfId="27983" xr:uid="{00000000-0005-0000-0000-0000633D0000}"/>
    <cellStyle name="Note 2 7 2 2 4 4" xfId="10450" xr:uid="{00000000-0005-0000-0000-0000643D0000}"/>
    <cellStyle name="Note 2 7 2 2 4 4 2" xfId="25282" xr:uid="{00000000-0005-0000-0000-0000653D0000}"/>
    <cellStyle name="Note 2 7 2 2 4 5" xfId="20771" xr:uid="{00000000-0005-0000-0000-0000663D0000}"/>
    <cellStyle name="Note 2 7 2 2 5" xfId="5977" xr:uid="{00000000-0005-0000-0000-0000673D0000}"/>
    <cellStyle name="Note 2 7 2 2 5 2" xfId="16169" xr:uid="{00000000-0005-0000-0000-0000683D0000}"/>
    <cellStyle name="Note 2 7 2 2 5 2 2" xfId="31001" xr:uid="{00000000-0005-0000-0000-0000693D0000}"/>
    <cellStyle name="Note 2 7 2 2 5 3" xfId="22542" xr:uid="{00000000-0005-0000-0000-00006A3D0000}"/>
    <cellStyle name="Note 2 7 2 2 6" xfId="12239" xr:uid="{00000000-0005-0000-0000-00006B3D0000}"/>
    <cellStyle name="Note 2 7 2 2 6 2" xfId="27071" xr:uid="{00000000-0005-0000-0000-00006C3D0000}"/>
    <cellStyle name="Note 2 7 2 2 7" xfId="9835" xr:uid="{00000000-0005-0000-0000-00006D3D0000}"/>
    <cellStyle name="Note 2 7 2 2 7 2" xfId="24761" xr:uid="{00000000-0005-0000-0000-00006E3D0000}"/>
    <cellStyle name="Note 2 7 2 2 8" xfId="20319" xr:uid="{00000000-0005-0000-0000-00006F3D0000}"/>
    <cellStyle name="Note 2 7 2 3" xfId="4150" xr:uid="{00000000-0005-0000-0000-0000703D0000}"/>
    <cellStyle name="Note 2 7 2 3 2" xfId="8193" xr:uid="{00000000-0005-0000-0000-0000713D0000}"/>
    <cellStyle name="Note 2 7 2 3 2 2" xfId="17545" xr:uid="{00000000-0005-0000-0000-0000723D0000}"/>
    <cellStyle name="Note 2 7 2 3 2 2 2" xfId="32377" xr:uid="{00000000-0005-0000-0000-0000733D0000}"/>
    <cellStyle name="Note 2 7 2 3 2 3" xfId="23920" xr:uid="{00000000-0005-0000-0000-0000743D0000}"/>
    <cellStyle name="Note 2 7 2 3 3" xfId="14482" xr:uid="{00000000-0005-0000-0000-0000753D0000}"/>
    <cellStyle name="Note 2 7 2 3 3 2" xfId="29314" xr:uid="{00000000-0005-0000-0000-0000763D0000}"/>
    <cellStyle name="Note 2 7 2 3 4" xfId="11163" xr:uid="{00000000-0005-0000-0000-0000773D0000}"/>
    <cellStyle name="Note 2 7 2 3 4 2" xfId="25995" xr:uid="{00000000-0005-0000-0000-0000783D0000}"/>
    <cellStyle name="Note 2 7 2 3 5" xfId="21548" xr:uid="{00000000-0005-0000-0000-0000793D0000}"/>
    <cellStyle name="Note 2 7 2 4" xfId="4403" xr:uid="{00000000-0005-0000-0000-00007A3D0000}"/>
    <cellStyle name="Note 2 7 2 4 2" xfId="8442" xr:uid="{00000000-0005-0000-0000-00007B3D0000}"/>
    <cellStyle name="Note 2 7 2 4 2 2" xfId="17663" xr:uid="{00000000-0005-0000-0000-00007C3D0000}"/>
    <cellStyle name="Note 2 7 2 4 2 2 2" xfId="32495" xr:uid="{00000000-0005-0000-0000-00007D3D0000}"/>
    <cellStyle name="Note 2 7 2 4 2 3" xfId="24100" xr:uid="{00000000-0005-0000-0000-00007E3D0000}"/>
    <cellStyle name="Note 2 7 2 4 3" xfId="14732" xr:uid="{00000000-0005-0000-0000-00007F3D0000}"/>
    <cellStyle name="Note 2 7 2 4 3 2" xfId="29564" xr:uid="{00000000-0005-0000-0000-0000803D0000}"/>
    <cellStyle name="Note 2 7 2 4 4" xfId="11271" xr:uid="{00000000-0005-0000-0000-0000813D0000}"/>
    <cellStyle name="Note 2 7 2 4 4 2" xfId="26103" xr:uid="{00000000-0005-0000-0000-0000823D0000}"/>
    <cellStyle name="Note 2 7 2 4 5" xfId="21668" xr:uid="{00000000-0005-0000-0000-0000833D0000}"/>
    <cellStyle name="Note 2 7 2 5" xfId="2393" xr:uid="{00000000-0005-0000-0000-0000843D0000}"/>
    <cellStyle name="Note 2 7 2 5 2" xfId="6505" xr:uid="{00000000-0005-0000-0000-0000853D0000}"/>
    <cellStyle name="Note 2 7 2 5 2 2" xfId="16561" xr:uid="{00000000-0005-0000-0000-0000863D0000}"/>
    <cellStyle name="Note 2 7 2 5 2 2 2" xfId="31393" xr:uid="{00000000-0005-0000-0000-0000873D0000}"/>
    <cellStyle name="Note 2 7 2 5 2 3" xfId="22875" xr:uid="{00000000-0005-0000-0000-0000883D0000}"/>
    <cellStyle name="Note 2 7 2 5 3" xfId="12732" xr:uid="{00000000-0005-0000-0000-0000893D0000}"/>
    <cellStyle name="Note 2 7 2 5 3 2" xfId="27564" xr:uid="{00000000-0005-0000-0000-00008A3D0000}"/>
    <cellStyle name="Note 2 7 2 5 4" xfId="10211" xr:uid="{00000000-0005-0000-0000-00008B3D0000}"/>
    <cellStyle name="Note 2 7 2 5 4 2" xfId="25043" xr:uid="{00000000-0005-0000-0000-00008C3D0000}"/>
    <cellStyle name="Note 2 7 2 5 5" xfId="20517" xr:uid="{00000000-0005-0000-0000-00008D3D0000}"/>
    <cellStyle name="Note 2 7 2 6" xfId="5518" xr:uid="{00000000-0005-0000-0000-00008E3D0000}"/>
    <cellStyle name="Note 2 7 2 6 2" xfId="15753" xr:uid="{00000000-0005-0000-0000-00008F3D0000}"/>
    <cellStyle name="Note 2 7 2 6 2 2" xfId="30585" xr:uid="{00000000-0005-0000-0000-0000903D0000}"/>
    <cellStyle name="Note 2 7 2 6 3" xfId="22246" xr:uid="{00000000-0005-0000-0000-0000913D0000}"/>
    <cellStyle name="Note 2 7 2 7" xfId="11768" xr:uid="{00000000-0005-0000-0000-0000923D0000}"/>
    <cellStyle name="Note 2 7 2 7 2" xfId="26600" xr:uid="{00000000-0005-0000-0000-0000933D0000}"/>
    <cellStyle name="Note 2 7 2 8" xfId="9439" xr:uid="{00000000-0005-0000-0000-0000943D0000}"/>
    <cellStyle name="Note 2 7 2 8 2" xfId="19743" xr:uid="{00000000-0005-0000-0000-0000953D0000}"/>
    <cellStyle name="Note 2 7 3" xfId="1511" xr:uid="{00000000-0005-0000-0000-0000963D0000}"/>
    <cellStyle name="Note 2 7 3 2" xfId="2008" xr:uid="{00000000-0005-0000-0000-0000973D0000}"/>
    <cellStyle name="Note 2 7 3 2 2" xfId="3847" xr:uid="{00000000-0005-0000-0000-0000983D0000}"/>
    <cellStyle name="Note 2 7 3 2 2 2" xfId="7900" xr:uid="{00000000-0005-0000-0000-0000993D0000}"/>
    <cellStyle name="Note 2 7 3 2 2 2 2" xfId="17392" xr:uid="{00000000-0005-0000-0000-00009A3D0000}"/>
    <cellStyle name="Note 2 7 3 2 2 2 2 2" xfId="32224" xr:uid="{00000000-0005-0000-0000-00009B3D0000}"/>
    <cellStyle name="Note 2 7 3 2 2 2 3" xfId="23737" xr:uid="{00000000-0005-0000-0000-00009C3D0000}"/>
    <cellStyle name="Note 2 7 3 2 2 3" xfId="14182" xr:uid="{00000000-0005-0000-0000-00009D3D0000}"/>
    <cellStyle name="Note 2 7 3 2 2 3 2" xfId="29014" xr:uid="{00000000-0005-0000-0000-00009E3D0000}"/>
    <cellStyle name="Note 2 7 3 2 2 4" xfId="11011" xr:uid="{00000000-0005-0000-0000-00009F3D0000}"/>
    <cellStyle name="Note 2 7 3 2 2 4 2" xfId="25843" xr:uid="{00000000-0005-0000-0000-0000A03D0000}"/>
    <cellStyle name="Note 2 7 3 2 2 5" xfId="21383" xr:uid="{00000000-0005-0000-0000-0000A13D0000}"/>
    <cellStyle name="Note 2 7 3 2 3" xfId="4976" xr:uid="{00000000-0005-0000-0000-0000A23D0000}"/>
    <cellStyle name="Note 2 7 3 2 3 2" xfId="9015" xr:uid="{00000000-0005-0000-0000-0000A33D0000}"/>
    <cellStyle name="Note 2 7 3 2 3 2 2" xfId="17953" xr:uid="{00000000-0005-0000-0000-0000A43D0000}"/>
    <cellStyle name="Note 2 7 3 2 3 2 2 2" xfId="32785" xr:uid="{00000000-0005-0000-0000-0000A53D0000}"/>
    <cellStyle name="Note 2 7 3 2 3 2 3" xfId="24481" xr:uid="{00000000-0005-0000-0000-0000A63D0000}"/>
    <cellStyle name="Note 2 7 3 2 3 3" xfId="15298" xr:uid="{00000000-0005-0000-0000-0000A73D0000}"/>
    <cellStyle name="Note 2 7 3 2 3 3 2" xfId="30130" xr:uid="{00000000-0005-0000-0000-0000A83D0000}"/>
    <cellStyle name="Note 2 7 3 2 3 4" xfId="11554" xr:uid="{00000000-0005-0000-0000-0000A93D0000}"/>
    <cellStyle name="Note 2 7 3 2 3 4 2" xfId="26386" xr:uid="{00000000-0005-0000-0000-0000AA3D0000}"/>
    <cellStyle name="Note 2 7 3 2 3 5" xfId="22007" xr:uid="{00000000-0005-0000-0000-0000AB3D0000}"/>
    <cellStyle name="Note 2 7 3 2 4" xfId="2966" xr:uid="{00000000-0005-0000-0000-0000AC3D0000}"/>
    <cellStyle name="Note 2 7 3 2 4 2" xfId="7046" xr:uid="{00000000-0005-0000-0000-0000AD3D0000}"/>
    <cellStyle name="Note 2 7 3 2 4 2 2" xfId="16845" xr:uid="{00000000-0005-0000-0000-0000AE3D0000}"/>
    <cellStyle name="Note 2 7 3 2 4 2 2 2" xfId="31677" xr:uid="{00000000-0005-0000-0000-0000AF3D0000}"/>
    <cellStyle name="Note 2 7 3 2 4 2 3" xfId="23220" xr:uid="{00000000-0005-0000-0000-0000B03D0000}"/>
    <cellStyle name="Note 2 7 3 2 4 3" xfId="13304" xr:uid="{00000000-0005-0000-0000-0000B13D0000}"/>
    <cellStyle name="Note 2 7 3 2 4 3 2" xfId="28136" xr:uid="{00000000-0005-0000-0000-0000B23D0000}"/>
    <cellStyle name="Note 2 7 3 2 4 4" xfId="10500" xr:uid="{00000000-0005-0000-0000-0000B33D0000}"/>
    <cellStyle name="Note 2 7 3 2 4 4 2" xfId="25332" xr:uid="{00000000-0005-0000-0000-0000B43D0000}"/>
    <cellStyle name="Note 2 7 3 2 4 5" xfId="20892" xr:uid="{00000000-0005-0000-0000-0000B53D0000}"/>
    <cellStyle name="Note 2 7 3 2 5" xfId="6138" xr:uid="{00000000-0005-0000-0000-0000B63D0000}"/>
    <cellStyle name="Note 2 7 3 2 5 2" xfId="16325" xr:uid="{00000000-0005-0000-0000-0000B73D0000}"/>
    <cellStyle name="Note 2 7 3 2 5 2 2" xfId="31157" xr:uid="{00000000-0005-0000-0000-0000B83D0000}"/>
    <cellStyle name="Note 2 7 3 2 5 3" xfId="22671" xr:uid="{00000000-0005-0000-0000-0000B93D0000}"/>
    <cellStyle name="Note 2 7 3 2 6" xfId="12395" xr:uid="{00000000-0005-0000-0000-0000BA3D0000}"/>
    <cellStyle name="Note 2 7 3 2 6 2" xfId="27227" xr:uid="{00000000-0005-0000-0000-0000BB3D0000}"/>
    <cellStyle name="Note 2 7 3 2 7" xfId="9977" xr:uid="{00000000-0005-0000-0000-0000BC3D0000}"/>
    <cellStyle name="Note 2 7 3 2 7 2" xfId="24809" xr:uid="{00000000-0005-0000-0000-0000BD3D0000}"/>
    <cellStyle name="Note 2 7 3 2 8" xfId="20350" xr:uid="{00000000-0005-0000-0000-0000BE3D0000}"/>
    <cellStyle name="Note 2 7 3 3" xfId="3200" xr:uid="{00000000-0005-0000-0000-0000BF3D0000}"/>
    <cellStyle name="Note 2 7 3 3 2" xfId="7264" xr:uid="{00000000-0005-0000-0000-0000C03D0000}"/>
    <cellStyle name="Note 2 7 3 3 2 2" xfId="17031" xr:uid="{00000000-0005-0000-0000-0000C13D0000}"/>
    <cellStyle name="Note 2 7 3 3 2 2 2" xfId="31863" xr:uid="{00000000-0005-0000-0000-0000C23D0000}"/>
    <cellStyle name="Note 2 7 3 3 2 3" xfId="23315" xr:uid="{00000000-0005-0000-0000-0000C33D0000}"/>
    <cellStyle name="Note 2 7 3 3 3" xfId="13538" xr:uid="{00000000-0005-0000-0000-0000C43D0000}"/>
    <cellStyle name="Note 2 7 3 3 3 2" xfId="28370" xr:uid="{00000000-0005-0000-0000-0000C53D0000}"/>
    <cellStyle name="Note 2 7 3 3 4" xfId="10675" xr:uid="{00000000-0005-0000-0000-0000C63D0000}"/>
    <cellStyle name="Note 2 7 3 3 4 2" xfId="25507" xr:uid="{00000000-0005-0000-0000-0000C73D0000}"/>
    <cellStyle name="Note 2 7 3 3 5" xfId="21005" xr:uid="{00000000-0005-0000-0000-0000C83D0000}"/>
    <cellStyle name="Note 2 7 3 4" xfId="4556" xr:uid="{00000000-0005-0000-0000-0000C93D0000}"/>
    <cellStyle name="Note 2 7 3 4 2" xfId="8595" xr:uid="{00000000-0005-0000-0000-0000CA3D0000}"/>
    <cellStyle name="Note 2 7 3 4 2 2" xfId="17713" xr:uid="{00000000-0005-0000-0000-0000CB3D0000}"/>
    <cellStyle name="Note 2 7 3 4 2 2 2" xfId="32545" xr:uid="{00000000-0005-0000-0000-0000CC3D0000}"/>
    <cellStyle name="Note 2 7 3 4 2 3" xfId="24221" xr:uid="{00000000-0005-0000-0000-0000CD3D0000}"/>
    <cellStyle name="Note 2 7 3 4 3" xfId="14883" xr:uid="{00000000-0005-0000-0000-0000CE3D0000}"/>
    <cellStyle name="Note 2 7 3 4 3 2" xfId="29715" xr:uid="{00000000-0005-0000-0000-0000CF3D0000}"/>
    <cellStyle name="Note 2 7 3 4 4" xfId="11319" xr:uid="{00000000-0005-0000-0000-0000D03D0000}"/>
    <cellStyle name="Note 2 7 3 4 4 2" xfId="26151" xr:uid="{00000000-0005-0000-0000-0000D13D0000}"/>
    <cellStyle name="Note 2 7 3 4 5" xfId="21777" xr:uid="{00000000-0005-0000-0000-0000D23D0000}"/>
    <cellStyle name="Note 2 7 3 5" xfId="2546" xr:uid="{00000000-0005-0000-0000-0000D33D0000}"/>
    <cellStyle name="Note 2 7 3 5 2" xfId="6652" xr:uid="{00000000-0005-0000-0000-0000D43D0000}"/>
    <cellStyle name="Note 2 7 3 5 2 2" xfId="16610" xr:uid="{00000000-0005-0000-0000-0000D53D0000}"/>
    <cellStyle name="Note 2 7 3 5 2 2 2" xfId="31442" xr:uid="{00000000-0005-0000-0000-0000D63D0000}"/>
    <cellStyle name="Note 2 7 3 5 2 3" xfId="22990" xr:uid="{00000000-0005-0000-0000-0000D73D0000}"/>
    <cellStyle name="Note 2 7 3 5 3" xfId="12884" xr:uid="{00000000-0005-0000-0000-0000D83D0000}"/>
    <cellStyle name="Note 2 7 3 5 3 2" xfId="27716" xr:uid="{00000000-0005-0000-0000-0000D93D0000}"/>
    <cellStyle name="Note 2 7 3 5 4" xfId="10260" xr:uid="{00000000-0005-0000-0000-0000DA3D0000}"/>
    <cellStyle name="Note 2 7 3 5 4 2" xfId="25092" xr:uid="{00000000-0005-0000-0000-0000DB3D0000}"/>
    <cellStyle name="Note 2 7 3 5 5" xfId="20632" xr:uid="{00000000-0005-0000-0000-0000DC3D0000}"/>
    <cellStyle name="Note 2 7 3 6" xfId="5669" xr:uid="{00000000-0005-0000-0000-0000DD3D0000}"/>
    <cellStyle name="Note 2 7 3 6 2" xfId="15904" xr:uid="{00000000-0005-0000-0000-0000DE3D0000}"/>
    <cellStyle name="Note 2 7 3 6 2 2" xfId="30736" xr:uid="{00000000-0005-0000-0000-0000DF3D0000}"/>
    <cellStyle name="Note 2 7 3 6 3" xfId="22365" xr:uid="{00000000-0005-0000-0000-0000E03D0000}"/>
    <cellStyle name="Note 2 7 3 7" xfId="11924" xr:uid="{00000000-0005-0000-0000-0000E13D0000}"/>
    <cellStyle name="Note 2 7 3 7 2" xfId="26756" xr:uid="{00000000-0005-0000-0000-0000E23D0000}"/>
    <cellStyle name="Note 2 7 3 8" xfId="9582" xr:uid="{00000000-0005-0000-0000-0000E33D0000}"/>
    <cellStyle name="Note 2 7 3 8 2" xfId="19884" xr:uid="{00000000-0005-0000-0000-0000E43D0000}"/>
    <cellStyle name="Note 2 7 4" xfId="1566" xr:uid="{00000000-0005-0000-0000-0000E53D0000}"/>
    <cellStyle name="Note 2 7 4 2" xfId="2063" xr:uid="{00000000-0005-0000-0000-0000E63D0000}"/>
    <cellStyle name="Note 2 7 4 2 2" xfId="3404" xr:uid="{00000000-0005-0000-0000-0000E73D0000}"/>
    <cellStyle name="Note 2 7 4 2 2 2" xfId="7467" xr:uid="{00000000-0005-0000-0000-0000E83D0000}"/>
    <cellStyle name="Note 2 7 4 2 2 2 2" xfId="17166" xr:uid="{00000000-0005-0000-0000-0000E93D0000}"/>
    <cellStyle name="Note 2 7 4 2 2 2 2 2" xfId="31998" xr:uid="{00000000-0005-0000-0000-0000EA3D0000}"/>
    <cellStyle name="Note 2 7 4 2 2 2 3" xfId="23455" xr:uid="{00000000-0005-0000-0000-0000EB3D0000}"/>
    <cellStyle name="Note 2 7 4 2 2 3" xfId="13741" xr:uid="{00000000-0005-0000-0000-0000EC3D0000}"/>
    <cellStyle name="Note 2 7 4 2 2 3 2" xfId="28573" xr:uid="{00000000-0005-0000-0000-0000ED3D0000}"/>
    <cellStyle name="Note 2 7 4 2 2 4" xfId="10785" xr:uid="{00000000-0005-0000-0000-0000EE3D0000}"/>
    <cellStyle name="Note 2 7 4 2 2 4 2" xfId="25617" xr:uid="{00000000-0005-0000-0000-0000EF3D0000}"/>
    <cellStyle name="Note 2 7 4 2 2 5" xfId="21133" xr:uid="{00000000-0005-0000-0000-0000F03D0000}"/>
    <cellStyle name="Note 2 7 4 2 3" xfId="5031" xr:uid="{00000000-0005-0000-0000-0000F13D0000}"/>
    <cellStyle name="Note 2 7 4 2 3 2" xfId="9070" xr:uid="{00000000-0005-0000-0000-0000F23D0000}"/>
    <cellStyle name="Note 2 7 4 2 3 2 2" xfId="18003" xr:uid="{00000000-0005-0000-0000-0000F33D0000}"/>
    <cellStyle name="Note 2 7 4 2 3 2 2 2" xfId="32835" xr:uid="{00000000-0005-0000-0000-0000F43D0000}"/>
    <cellStyle name="Note 2 7 4 2 3 2 3" xfId="24504" xr:uid="{00000000-0005-0000-0000-0000F53D0000}"/>
    <cellStyle name="Note 2 7 4 2 3 3" xfId="15352" xr:uid="{00000000-0005-0000-0000-0000F63D0000}"/>
    <cellStyle name="Note 2 7 4 2 3 3 2" xfId="30184" xr:uid="{00000000-0005-0000-0000-0000F73D0000}"/>
    <cellStyle name="Note 2 7 4 2 3 4" xfId="11603" xr:uid="{00000000-0005-0000-0000-0000F83D0000}"/>
    <cellStyle name="Note 2 7 4 2 3 4 2" xfId="26435" xr:uid="{00000000-0005-0000-0000-0000F93D0000}"/>
    <cellStyle name="Note 2 7 4 2 3 5" xfId="22024" xr:uid="{00000000-0005-0000-0000-0000FA3D0000}"/>
    <cellStyle name="Note 2 7 4 2 4" xfId="3021" xr:uid="{00000000-0005-0000-0000-0000FB3D0000}"/>
    <cellStyle name="Note 2 7 4 2 4 2" xfId="7096" xr:uid="{00000000-0005-0000-0000-0000FC3D0000}"/>
    <cellStyle name="Note 2 7 4 2 4 2 2" xfId="16894" xr:uid="{00000000-0005-0000-0000-0000FD3D0000}"/>
    <cellStyle name="Note 2 7 4 2 4 2 2 2" xfId="31726" xr:uid="{00000000-0005-0000-0000-0000FE3D0000}"/>
    <cellStyle name="Note 2 7 4 2 4 2 3" xfId="23237" xr:uid="{00000000-0005-0000-0000-0000FF3D0000}"/>
    <cellStyle name="Note 2 7 4 2 4 3" xfId="13359" xr:uid="{00000000-0005-0000-0000-0000003E0000}"/>
    <cellStyle name="Note 2 7 4 2 4 3 2" xfId="28191" xr:uid="{00000000-0005-0000-0000-0000013E0000}"/>
    <cellStyle name="Note 2 7 4 2 4 4" xfId="10550" xr:uid="{00000000-0005-0000-0000-0000023E0000}"/>
    <cellStyle name="Note 2 7 4 2 4 4 2" xfId="25382" xr:uid="{00000000-0005-0000-0000-0000033E0000}"/>
    <cellStyle name="Note 2 7 4 2 4 5" xfId="20915" xr:uid="{00000000-0005-0000-0000-0000043E0000}"/>
    <cellStyle name="Note 2 7 4 2 5" xfId="6188" xr:uid="{00000000-0005-0000-0000-0000053E0000}"/>
    <cellStyle name="Note 2 7 4 2 5 2" xfId="16374" xr:uid="{00000000-0005-0000-0000-0000063E0000}"/>
    <cellStyle name="Note 2 7 4 2 5 2 2" xfId="31206" xr:uid="{00000000-0005-0000-0000-0000073E0000}"/>
    <cellStyle name="Note 2 7 4 2 5 3" xfId="22688" xr:uid="{00000000-0005-0000-0000-0000083E0000}"/>
    <cellStyle name="Note 2 7 4 2 6" xfId="12444" xr:uid="{00000000-0005-0000-0000-0000093E0000}"/>
    <cellStyle name="Note 2 7 4 2 6 2" xfId="27276" xr:uid="{00000000-0005-0000-0000-00000A3E0000}"/>
    <cellStyle name="Note 2 7 4 2 7" xfId="10026" xr:uid="{00000000-0005-0000-0000-00000B3E0000}"/>
    <cellStyle name="Note 2 7 4 2 7 2" xfId="24858" xr:uid="{00000000-0005-0000-0000-00000C3E0000}"/>
    <cellStyle name="Note 2 7 4 2 8" xfId="20367" xr:uid="{00000000-0005-0000-0000-00000D3E0000}"/>
    <cellStyle name="Note 2 7 4 3" xfId="3284" xr:uid="{00000000-0005-0000-0000-00000E3E0000}"/>
    <cellStyle name="Note 2 7 4 3 2" xfId="7348" xr:uid="{00000000-0005-0000-0000-00000F3E0000}"/>
    <cellStyle name="Note 2 7 4 3 2 2" xfId="17091" xr:uid="{00000000-0005-0000-0000-0000103E0000}"/>
    <cellStyle name="Note 2 7 4 3 2 2 2" xfId="31923" xr:uid="{00000000-0005-0000-0000-0000113E0000}"/>
    <cellStyle name="Note 2 7 4 3 2 3" xfId="23375" xr:uid="{00000000-0005-0000-0000-0000123E0000}"/>
    <cellStyle name="Note 2 7 4 3 3" xfId="13621" xr:uid="{00000000-0005-0000-0000-0000133E0000}"/>
    <cellStyle name="Note 2 7 4 3 3 2" xfId="28453" xr:uid="{00000000-0005-0000-0000-0000143E0000}"/>
    <cellStyle name="Note 2 7 4 3 4" xfId="10718" xr:uid="{00000000-0005-0000-0000-0000153E0000}"/>
    <cellStyle name="Note 2 7 4 3 4 2" xfId="25550" xr:uid="{00000000-0005-0000-0000-0000163E0000}"/>
    <cellStyle name="Note 2 7 4 3 5" xfId="21062" xr:uid="{00000000-0005-0000-0000-0000173E0000}"/>
    <cellStyle name="Note 2 7 4 4" xfId="4611" xr:uid="{00000000-0005-0000-0000-0000183E0000}"/>
    <cellStyle name="Note 2 7 4 4 2" xfId="8650" xr:uid="{00000000-0005-0000-0000-0000193E0000}"/>
    <cellStyle name="Note 2 7 4 4 2 2" xfId="17763" xr:uid="{00000000-0005-0000-0000-00001A3E0000}"/>
    <cellStyle name="Note 2 7 4 4 2 2 2" xfId="32595" xr:uid="{00000000-0005-0000-0000-00001B3E0000}"/>
    <cellStyle name="Note 2 7 4 4 2 3" xfId="24244" xr:uid="{00000000-0005-0000-0000-00001C3E0000}"/>
    <cellStyle name="Note 2 7 4 4 3" xfId="14937" xr:uid="{00000000-0005-0000-0000-00001D3E0000}"/>
    <cellStyle name="Note 2 7 4 4 3 2" xfId="29769" xr:uid="{00000000-0005-0000-0000-00001E3E0000}"/>
    <cellStyle name="Note 2 7 4 4 4" xfId="11368" xr:uid="{00000000-0005-0000-0000-00001F3E0000}"/>
    <cellStyle name="Note 2 7 4 4 4 2" xfId="26200" xr:uid="{00000000-0005-0000-0000-0000203E0000}"/>
    <cellStyle name="Note 2 7 4 4 5" xfId="21794" xr:uid="{00000000-0005-0000-0000-0000213E0000}"/>
    <cellStyle name="Note 2 7 4 5" xfId="2601" xr:uid="{00000000-0005-0000-0000-0000223E0000}"/>
    <cellStyle name="Note 2 7 4 5 2" xfId="6702" xr:uid="{00000000-0005-0000-0000-0000233E0000}"/>
    <cellStyle name="Note 2 7 4 5 2 2" xfId="16659" xr:uid="{00000000-0005-0000-0000-0000243E0000}"/>
    <cellStyle name="Note 2 7 4 5 2 2 2" xfId="31491" xr:uid="{00000000-0005-0000-0000-0000253E0000}"/>
    <cellStyle name="Note 2 7 4 5 2 3" xfId="23007" xr:uid="{00000000-0005-0000-0000-0000263E0000}"/>
    <cellStyle name="Note 2 7 4 5 3" xfId="12939" xr:uid="{00000000-0005-0000-0000-0000273E0000}"/>
    <cellStyle name="Note 2 7 4 5 3 2" xfId="27771" xr:uid="{00000000-0005-0000-0000-0000283E0000}"/>
    <cellStyle name="Note 2 7 4 5 4" xfId="10310" xr:uid="{00000000-0005-0000-0000-0000293E0000}"/>
    <cellStyle name="Note 2 7 4 5 4 2" xfId="25142" xr:uid="{00000000-0005-0000-0000-00002A3E0000}"/>
    <cellStyle name="Note 2 7 4 5 5" xfId="20655" xr:uid="{00000000-0005-0000-0000-00002B3E0000}"/>
    <cellStyle name="Note 2 7 4 6" xfId="5718" xr:uid="{00000000-0005-0000-0000-00002C3E0000}"/>
    <cellStyle name="Note 2 7 4 6 2" xfId="15953" xr:uid="{00000000-0005-0000-0000-00002D3E0000}"/>
    <cellStyle name="Note 2 7 4 6 2 2" xfId="30785" xr:uid="{00000000-0005-0000-0000-00002E3E0000}"/>
    <cellStyle name="Note 2 7 4 6 3" xfId="22382" xr:uid="{00000000-0005-0000-0000-00002F3E0000}"/>
    <cellStyle name="Note 2 7 4 7" xfId="11973" xr:uid="{00000000-0005-0000-0000-0000303E0000}"/>
    <cellStyle name="Note 2 7 4 7 2" xfId="26805" xr:uid="{00000000-0005-0000-0000-0000313E0000}"/>
    <cellStyle name="Note 2 7 4 8" xfId="9632" xr:uid="{00000000-0005-0000-0000-0000323E0000}"/>
    <cellStyle name="Note 2 7 4 8 2" xfId="19933" xr:uid="{00000000-0005-0000-0000-0000333E0000}"/>
    <cellStyle name="Note 2 7 5" xfId="1616" xr:uid="{00000000-0005-0000-0000-0000343E0000}"/>
    <cellStyle name="Note 2 7 5 2" xfId="2113" xr:uid="{00000000-0005-0000-0000-0000353E0000}"/>
    <cellStyle name="Note 2 7 5 2 2" xfId="3713" xr:uid="{00000000-0005-0000-0000-0000363E0000}"/>
    <cellStyle name="Note 2 7 5 2 2 2" xfId="7769" xr:uid="{00000000-0005-0000-0000-0000373E0000}"/>
    <cellStyle name="Note 2 7 5 2 2 2 2" xfId="17330" xr:uid="{00000000-0005-0000-0000-0000383E0000}"/>
    <cellStyle name="Note 2 7 5 2 2 2 2 2" xfId="32162" xr:uid="{00000000-0005-0000-0000-0000393E0000}"/>
    <cellStyle name="Note 2 7 5 2 2 2 3" xfId="23650" xr:uid="{00000000-0005-0000-0000-00003A3E0000}"/>
    <cellStyle name="Note 2 7 5 2 2 3" xfId="14048" xr:uid="{00000000-0005-0000-0000-00003B3E0000}"/>
    <cellStyle name="Note 2 7 5 2 2 3 2" xfId="28880" xr:uid="{00000000-0005-0000-0000-00003C3E0000}"/>
    <cellStyle name="Note 2 7 5 2 2 4" xfId="10948" xr:uid="{00000000-0005-0000-0000-00003D3E0000}"/>
    <cellStyle name="Note 2 7 5 2 2 4 2" xfId="25780" xr:uid="{00000000-0005-0000-0000-00003E3E0000}"/>
    <cellStyle name="Note 2 7 5 2 2 5" xfId="21310" xr:uid="{00000000-0005-0000-0000-00003F3E0000}"/>
    <cellStyle name="Note 2 7 5 2 3" xfId="5081" xr:uid="{00000000-0005-0000-0000-0000403E0000}"/>
    <cellStyle name="Note 2 7 5 2 3 2" xfId="9120" xr:uid="{00000000-0005-0000-0000-0000413E0000}"/>
    <cellStyle name="Note 2 7 5 2 3 2 2" xfId="18048" xr:uid="{00000000-0005-0000-0000-0000423E0000}"/>
    <cellStyle name="Note 2 7 5 2 3 2 2 2" xfId="32880" xr:uid="{00000000-0005-0000-0000-0000433E0000}"/>
    <cellStyle name="Note 2 7 5 2 3 2 3" xfId="24522" xr:uid="{00000000-0005-0000-0000-0000443E0000}"/>
    <cellStyle name="Note 2 7 5 2 3 3" xfId="15401" xr:uid="{00000000-0005-0000-0000-0000453E0000}"/>
    <cellStyle name="Note 2 7 5 2 3 3 2" xfId="30233" xr:uid="{00000000-0005-0000-0000-0000463E0000}"/>
    <cellStyle name="Note 2 7 5 2 3 4" xfId="11647" xr:uid="{00000000-0005-0000-0000-0000473E0000}"/>
    <cellStyle name="Note 2 7 5 2 3 4 2" xfId="26479" xr:uid="{00000000-0005-0000-0000-0000483E0000}"/>
    <cellStyle name="Note 2 7 5 2 3 5" xfId="22036" xr:uid="{00000000-0005-0000-0000-0000493E0000}"/>
    <cellStyle name="Note 2 7 5 2 4" xfId="3071" xr:uid="{00000000-0005-0000-0000-00004A3E0000}"/>
    <cellStyle name="Note 2 7 5 2 4 2" xfId="7141" xr:uid="{00000000-0005-0000-0000-00004B3E0000}"/>
    <cellStyle name="Note 2 7 5 2 4 2 2" xfId="16938" xr:uid="{00000000-0005-0000-0000-00004C3E0000}"/>
    <cellStyle name="Note 2 7 5 2 4 2 2 2" xfId="31770" xr:uid="{00000000-0005-0000-0000-00004D3E0000}"/>
    <cellStyle name="Note 2 7 5 2 4 2 3" xfId="23249" xr:uid="{00000000-0005-0000-0000-00004E3E0000}"/>
    <cellStyle name="Note 2 7 5 2 4 3" xfId="13409" xr:uid="{00000000-0005-0000-0000-00004F3E0000}"/>
    <cellStyle name="Note 2 7 5 2 4 3 2" xfId="28241" xr:uid="{00000000-0005-0000-0000-0000503E0000}"/>
    <cellStyle name="Note 2 7 5 2 4 4" xfId="10595" xr:uid="{00000000-0005-0000-0000-0000513E0000}"/>
    <cellStyle name="Note 2 7 5 2 4 4 2" xfId="25427" xr:uid="{00000000-0005-0000-0000-0000523E0000}"/>
    <cellStyle name="Note 2 7 5 2 4 5" xfId="20933" xr:uid="{00000000-0005-0000-0000-0000533E0000}"/>
    <cellStyle name="Note 2 7 5 2 5" xfId="6233" xr:uid="{00000000-0005-0000-0000-0000543E0000}"/>
    <cellStyle name="Note 2 7 5 2 5 2" xfId="16418" xr:uid="{00000000-0005-0000-0000-0000553E0000}"/>
    <cellStyle name="Note 2 7 5 2 5 2 2" xfId="31250" xr:uid="{00000000-0005-0000-0000-0000563E0000}"/>
    <cellStyle name="Note 2 7 5 2 5 3" xfId="22700" xr:uid="{00000000-0005-0000-0000-0000573E0000}"/>
    <cellStyle name="Note 2 7 5 2 6" xfId="12488" xr:uid="{00000000-0005-0000-0000-0000583E0000}"/>
    <cellStyle name="Note 2 7 5 2 6 2" xfId="27320" xr:uid="{00000000-0005-0000-0000-0000593E0000}"/>
    <cellStyle name="Note 2 7 5 2 7" xfId="10070" xr:uid="{00000000-0005-0000-0000-00005A3E0000}"/>
    <cellStyle name="Note 2 7 5 2 7 2" xfId="24902" xr:uid="{00000000-0005-0000-0000-00005B3E0000}"/>
    <cellStyle name="Note 2 7 5 2 8" xfId="20379" xr:uid="{00000000-0005-0000-0000-00005C3E0000}"/>
    <cellStyle name="Note 2 7 5 3" xfId="3583" xr:uid="{00000000-0005-0000-0000-00005D3E0000}"/>
    <cellStyle name="Note 2 7 5 3 2" xfId="7645" xr:uid="{00000000-0005-0000-0000-00005E3E0000}"/>
    <cellStyle name="Note 2 7 5 3 2 2" xfId="17269" xr:uid="{00000000-0005-0000-0000-00005F3E0000}"/>
    <cellStyle name="Note 2 7 5 3 2 2 2" xfId="32101" xr:uid="{00000000-0005-0000-0000-0000603E0000}"/>
    <cellStyle name="Note 2 7 5 3 2 3" xfId="23565" xr:uid="{00000000-0005-0000-0000-0000613E0000}"/>
    <cellStyle name="Note 2 7 5 3 3" xfId="13919" xr:uid="{00000000-0005-0000-0000-0000623E0000}"/>
    <cellStyle name="Note 2 7 5 3 3 2" xfId="28751" xr:uid="{00000000-0005-0000-0000-0000633E0000}"/>
    <cellStyle name="Note 2 7 5 3 4" xfId="10886" xr:uid="{00000000-0005-0000-0000-0000643E0000}"/>
    <cellStyle name="Note 2 7 5 3 4 2" xfId="25718" xr:uid="{00000000-0005-0000-0000-0000653E0000}"/>
    <cellStyle name="Note 2 7 5 3 5" xfId="21234" xr:uid="{00000000-0005-0000-0000-0000663E0000}"/>
    <cellStyle name="Note 2 7 5 4" xfId="4661" xr:uid="{00000000-0005-0000-0000-0000673E0000}"/>
    <cellStyle name="Note 2 7 5 4 2" xfId="8700" xr:uid="{00000000-0005-0000-0000-0000683E0000}"/>
    <cellStyle name="Note 2 7 5 4 2 2" xfId="17808" xr:uid="{00000000-0005-0000-0000-0000693E0000}"/>
    <cellStyle name="Note 2 7 5 4 2 2 2" xfId="32640" xr:uid="{00000000-0005-0000-0000-00006A3E0000}"/>
    <cellStyle name="Note 2 7 5 4 2 3" xfId="24262" xr:uid="{00000000-0005-0000-0000-00006B3E0000}"/>
    <cellStyle name="Note 2 7 5 4 3" xfId="14986" xr:uid="{00000000-0005-0000-0000-00006C3E0000}"/>
    <cellStyle name="Note 2 7 5 4 3 2" xfId="29818" xr:uid="{00000000-0005-0000-0000-00006D3E0000}"/>
    <cellStyle name="Note 2 7 5 4 4" xfId="11412" xr:uid="{00000000-0005-0000-0000-00006E3E0000}"/>
    <cellStyle name="Note 2 7 5 4 4 2" xfId="26244" xr:uid="{00000000-0005-0000-0000-00006F3E0000}"/>
    <cellStyle name="Note 2 7 5 4 5" xfId="21806" xr:uid="{00000000-0005-0000-0000-0000703E0000}"/>
    <cellStyle name="Note 2 7 5 5" xfId="2651" xr:uid="{00000000-0005-0000-0000-0000713E0000}"/>
    <cellStyle name="Note 2 7 5 5 2" xfId="6747" xr:uid="{00000000-0005-0000-0000-0000723E0000}"/>
    <cellStyle name="Note 2 7 5 5 2 2" xfId="16703" xr:uid="{00000000-0005-0000-0000-0000733E0000}"/>
    <cellStyle name="Note 2 7 5 5 2 2 2" xfId="31535" xr:uid="{00000000-0005-0000-0000-0000743E0000}"/>
    <cellStyle name="Note 2 7 5 5 2 3" xfId="23019" xr:uid="{00000000-0005-0000-0000-0000753E0000}"/>
    <cellStyle name="Note 2 7 5 5 3" xfId="12989" xr:uid="{00000000-0005-0000-0000-0000763E0000}"/>
    <cellStyle name="Note 2 7 5 5 3 2" xfId="27821" xr:uid="{00000000-0005-0000-0000-0000773E0000}"/>
    <cellStyle name="Note 2 7 5 5 4" xfId="10355" xr:uid="{00000000-0005-0000-0000-0000783E0000}"/>
    <cellStyle name="Note 2 7 5 5 4 2" xfId="25187" xr:uid="{00000000-0005-0000-0000-0000793E0000}"/>
    <cellStyle name="Note 2 7 5 5 5" xfId="20673" xr:uid="{00000000-0005-0000-0000-00007A3E0000}"/>
    <cellStyle name="Note 2 7 5 6" xfId="5763" xr:uid="{00000000-0005-0000-0000-00007B3E0000}"/>
    <cellStyle name="Note 2 7 5 6 2" xfId="15997" xr:uid="{00000000-0005-0000-0000-00007C3E0000}"/>
    <cellStyle name="Note 2 7 5 6 2 2" xfId="30829" xr:uid="{00000000-0005-0000-0000-00007D3E0000}"/>
    <cellStyle name="Note 2 7 5 6 3" xfId="22394" xr:uid="{00000000-0005-0000-0000-00007E3E0000}"/>
    <cellStyle name="Note 2 7 5 7" xfId="12017" xr:uid="{00000000-0005-0000-0000-00007F3E0000}"/>
    <cellStyle name="Note 2 7 5 7 2" xfId="26849" xr:uid="{00000000-0005-0000-0000-0000803E0000}"/>
    <cellStyle name="Note 2 7 5 8" xfId="9677" xr:uid="{00000000-0005-0000-0000-0000813E0000}"/>
    <cellStyle name="Note 2 7 5 8 2" xfId="19977" xr:uid="{00000000-0005-0000-0000-0000823E0000}"/>
    <cellStyle name="Note 2 7 6" xfId="1767" xr:uid="{00000000-0005-0000-0000-0000833E0000}"/>
    <cellStyle name="Note 2 7 6 2" xfId="3373" xr:uid="{00000000-0005-0000-0000-0000843E0000}"/>
    <cellStyle name="Note 2 7 6 2 2" xfId="7436" xr:uid="{00000000-0005-0000-0000-0000853E0000}"/>
    <cellStyle name="Note 2 7 6 2 2 2" xfId="17145" xr:uid="{00000000-0005-0000-0000-0000863E0000}"/>
    <cellStyle name="Note 2 7 6 2 2 2 2" xfId="31977" xr:uid="{00000000-0005-0000-0000-0000873E0000}"/>
    <cellStyle name="Note 2 7 6 2 2 3" xfId="23434" xr:uid="{00000000-0005-0000-0000-0000883E0000}"/>
    <cellStyle name="Note 2 7 6 2 3" xfId="13710" xr:uid="{00000000-0005-0000-0000-0000893E0000}"/>
    <cellStyle name="Note 2 7 6 2 3 2" xfId="28542" xr:uid="{00000000-0005-0000-0000-00008A3E0000}"/>
    <cellStyle name="Note 2 7 6 2 4" xfId="10764" xr:uid="{00000000-0005-0000-0000-00008B3E0000}"/>
    <cellStyle name="Note 2 7 6 2 4 2" xfId="25596" xr:uid="{00000000-0005-0000-0000-00008C3E0000}"/>
    <cellStyle name="Note 2 7 6 2 5" xfId="21116" xr:uid="{00000000-0005-0000-0000-00008D3E0000}"/>
    <cellStyle name="Note 2 7 6 3" xfId="4745" xr:uid="{00000000-0005-0000-0000-00008E3E0000}"/>
    <cellStyle name="Note 2 7 6 3 2" xfId="8784" xr:uid="{00000000-0005-0000-0000-00008F3E0000}"/>
    <cellStyle name="Note 2 7 6 3 2 2" xfId="17856" xr:uid="{00000000-0005-0000-0000-0000903E0000}"/>
    <cellStyle name="Note 2 7 6 3 2 2 2" xfId="32688" xr:uid="{00000000-0005-0000-0000-0000913E0000}"/>
    <cellStyle name="Note 2 7 6 3 2 3" xfId="24314" xr:uid="{00000000-0005-0000-0000-0000923E0000}"/>
    <cellStyle name="Note 2 7 6 3 3" xfId="15069" xr:uid="{00000000-0005-0000-0000-0000933E0000}"/>
    <cellStyle name="Note 2 7 6 3 3 2" xfId="29901" xr:uid="{00000000-0005-0000-0000-0000943E0000}"/>
    <cellStyle name="Note 2 7 6 3 4" xfId="11459" xr:uid="{00000000-0005-0000-0000-0000953E0000}"/>
    <cellStyle name="Note 2 7 6 3 4 2" xfId="26291" xr:uid="{00000000-0005-0000-0000-0000963E0000}"/>
    <cellStyle name="Note 2 7 6 3 5" xfId="21852" xr:uid="{00000000-0005-0000-0000-0000973E0000}"/>
    <cellStyle name="Note 2 7 6 4" xfId="2735" xr:uid="{00000000-0005-0000-0000-0000983E0000}"/>
    <cellStyle name="Note 2 7 6 4 2" xfId="6826" xr:uid="{00000000-0005-0000-0000-0000993E0000}"/>
    <cellStyle name="Note 2 7 6 4 2 2" xfId="16750" xr:uid="{00000000-0005-0000-0000-00009A3E0000}"/>
    <cellStyle name="Note 2 7 6 4 2 2 2" xfId="31582" xr:uid="{00000000-0005-0000-0000-00009B3E0000}"/>
    <cellStyle name="Note 2 7 6 4 2 3" xfId="23065" xr:uid="{00000000-0005-0000-0000-00009C3E0000}"/>
    <cellStyle name="Note 2 7 6 4 3" xfId="13073" xr:uid="{00000000-0005-0000-0000-00009D3E0000}"/>
    <cellStyle name="Note 2 7 6 4 3 2" xfId="27905" xr:uid="{00000000-0005-0000-0000-00009E3E0000}"/>
    <cellStyle name="Note 2 7 6 4 4" xfId="10403" xr:uid="{00000000-0005-0000-0000-00009F3E0000}"/>
    <cellStyle name="Note 2 7 6 4 4 2" xfId="25235" xr:uid="{00000000-0005-0000-0000-0000A03E0000}"/>
    <cellStyle name="Note 2 7 6 4 5" xfId="20725" xr:uid="{00000000-0005-0000-0000-0000A13E0000}"/>
    <cellStyle name="Note 2 7 6 5" xfId="5899" xr:uid="{00000000-0005-0000-0000-0000A23E0000}"/>
    <cellStyle name="Note 2 7 6 5 2" xfId="16091" xr:uid="{00000000-0005-0000-0000-0000A33E0000}"/>
    <cellStyle name="Note 2 7 6 5 2 2" xfId="30923" xr:uid="{00000000-0005-0000-0000-0000A43E0000}"/>
    <cellStyle name="Note 2 7 6 5 3" xfId="22496" xr:uid="{00000000-0005-0000-0000-0000A53E0000}"/>
    <cellStyle name="Note 2 7 6 6" xfId="12161" xr:uid="{00000000-0005-0000-0000-0000A63E0000}"/>
    <cellStyle name="Note 2 7 6 6 2" xfId="26993" xr:uid="{00000000-0005-0000-0000-0000A73E0000}"/>
    <cellStyle name="Note 2 7 6 7" xfId="9757" xr:uid="{00000000-0005-0000-0000-0000A83E0000}"/>
    <cellStyle name="Note 2 7 6 7 2" xfId="24714" xr:uid="{00000000-0005-0000-0000-0000A93E0000}"/>
    <cellStyle name="Note 2 7 6 8" xfId="20304" xr:uid="{00000000-0005-0000-0000-0000AA3E0000}"/>
    <cellStyle name="Note 2 7 7" xfId="2199" xr:uid="{00000000-0005-0000-0000-0000AB3E0000}"/>
    <cellStyle name="Note 2 7 7 2" xfId="3442" xr:uid="{00000000-0005-0000-0000-0000AC3E0000}"/>
    <cellStyle name="Note 2 7 7 2 2" xfId="7505" xr:uid="{00000000-0005-0000-0000-0000AD3E0000}"/>
    <cellStyle name="Note 2 7 7 2 2 2" xfId="17192" xr:uid="{00000000-0005-0000-0000-0000AE3E0000}"/>
    <cellStyle name="Note 2 7 7 2 2 2 2" xfId="32024" xr:uid="{00000000-0005-0000-0000-0000AF3E0000}"/>
    <cellStyle name="Note 2 7 7 2 2 3" xfId="23478" xr:uid="{00000000-0005-0000-0000-0000B03E0000}"/>
    <cellStyle name="Note 2 7 7 2 3" xfId="13779" xr:uid="{00000000-0005-0000-0000-0000B13E0000}"/>
    <cellStyle name="Note 2 7 7 2 3 2" xfId="28611" xr:uid="{00000000-0005-0000-0000-0000B23E0000}"/>
    <cellStyle name="Note 2 7 7 2 4" xfId="10811" xr:uid="{00000000-0005-0000-0000-0000B33E0000}"/>
    <cellStyle name="Note 2 7 7 2 4 2" xfId="25643" xr:uid="{00000000-0005-0000-0000-0000B43E0000}"/>
    <cellStyle name="Note 2 7 7 2 5" xfId="21154" xr:uid="{00000000-0005-0000-0000-0000B53E0000}"/>
    <cellStyle name="Note 2 7 7 3" xfId="5167" xr:uid="{00000000-0005-0000-0000-0000B63E0000}"/>
    <cellStyle name="Note 2 7 7 3 2" xfId="9206" xr:uid="{00000000-0005-0000-0000-0000B73E0000}"/>
    <cellStyle name="Note 2 7 7 3 2 2" xfId="18129" xr:uid="{00000000-0005-0000-0000-0000B83E0000}"/>
    <cellStyle name="Note 2 7 7 3 2 2 2" xfId="32961" xr:uid="{00000000-0005-0000-0000-0000B93E0000}"/>
    <cellStyle name="Note 2 7 7 3 2 3" xfId="24544" xr:uid="{00000000-0005-0000-0000-0000BA3E0000}"/>
    <cellStyle name="Note 2 7 7 3 3" xfId="15485" xr:uid="{00000000-0005-0000-0000-0000BB3E0000}"/>
    <cellStyle name="Note 2 7 7 3 3 2" xfId="30317" xr:uid="{00000000-0005-0000-0000-0000BC3E0000}"/>
    <cellStyle name="Note 2 7 7 3 4" xfId="11726" xr:uid="{00000000-0005-0000-0000-0000BD3E0000}"/>
    <cellStyle name="Note 2 7 7 3 4 2" xfId="26558" xr:uid="{00000000-0005-0000-0000-0000BE3E0000}"/>
    <cellStyle name="Note 2 7 7 3 5" xfId="22051" xr:uid="{00000000-0005-0000-0000-0000BF3E0000}"/>
    <cellStyle name="Note 2 7 7 4" xfId="4197" xr:uid="{00000000-0005-0000-0000-0000C03E0000}"/>
    <cellStyle name="Note 2 7 7 4 2" xfId="8238" xr:uid="{00000000-0005-0000-0000-0000C13E0000}"/>
    <cellStyle name="Note 2 7 7 4 2 2" xfId="17585" xr:uid="{00000000-0005-0000-0000-0000C23E0000}"/>
    <cellStyle name="Note 2 7 7 4 2 2 2" xfId="32417" xr:uid="{00000000-0005-0000-0000-0000C33E0000}"/>
    <cellStyle name="Note 2 7 7 4 2 3" xfId="23933" xr:uid="{00000000-0005-0000-0000-0000C43E0000}"/>
    <cellStyle name="Note 2 7 7 4 3" xfId="14529" xr:uid="{00000000-0005-0000-0000-0000C53E0000}"/>
    <cellStyle name="Note 2 7 7 4 3 2" xfId="29361" xr:uid="{00000000-0005-0000-0000-0000C63E0000}"/>
    <cellStyle name="Note 2 7 7 4 4" xfId="11205" xr:uid="{00000000-0005-0000-0000-0000C73E0000}"/>
    <cellStyle name="Note 2 7 7 4 4 2" xfId="26037" xr:uid="{00000000-0005-0000-0000-0000C83E0000}"/>
    <cellStyle name="Note 2 7 7 4 5" xfId="21558" xr:uid="{00000000-0005-0000-0000-0000C93E0000}"/>
    <cellStyle name="Note 2 7 7 5" xfId="6313" xr:uid="{00000000-0005-0000-0000-0000CA3E0000}"/>
    <cellStyle name="Note 2 7 7 5 2" xfId="16497" xr:uid="{00000000-0005-0000-0000-0000CB3E0000}"/>
    <cellStyle name="Note 2 7 7 5 2 2" xfId="31329" xr:uid="{00000000-0005-0000-0000-0000CC3E0000}"/>
    <cellStyle name="Note 2 7 7 5 3" xfId="22715" xr:uid="{00000000-0005-0000-0000-0000CD3E0000}"/>
    <cellStyle name="Note 2 7 7 6" xfId="12567" xr:uid="{00000000-0005-0000-0000-0000CE3E0000}"/>
    <cellStyle name="Note 2 7 7 6 2" xfId="27399" xr:uid="{00000000-0005-0000-0000-0000CF3E0000}"/>
    <cellStyle name="Note 2 7 7 7" xfId="10149" xr:uid="{00000000-0005-0000-0000-0000D03E0000}"/>
    <cellStyle name="Note 2 7 7 7 2" xfId="24981" xr:uid="{00000000-0005-0000-0000-0000D13E0000}"/>
    <cellStyle name="Note 2 7 7 8" xfId="20394" xr:uid="{00000000-0005-0000-0000-0000D23E0000}"/>
    <cellStyle name="Note 2 7 8" xfId="3918" xr:uid="{00000000-0005-0000-0000-0000D33E0000}"/>
    <cellStyle name="Note 2 7 8 2" xfId="7969" xr:uid="{00000000-0005-0000-0000-0000D43E0000}"/>
    <cellStyle name="Note 2 7 8 2 2" xfId="17430" xr:uid="{00000000-0005-0000-0000-0000D53E0000}"/>
    <cellStyle name="Note 2 7 8 2 2 2" xfId="32262" xr:uid="{00000000-0005-0000-0000-0000D63E0000}"/>
    <cellStyle name="Note 2 7 8 2 3" xfId="23777" xr:uid="{00000000-0005-0000-0000-0000D73E0000}"/>
    <cellStyle name="Note 2 7 8 3" xfId="14251" xr:uid="{00000000-0005-0000-0000-0000D83E0000}"/>
    <cellStyle name="Note 2 7 8 3 2" xfId="29083" xr:uid="{00000000-0005-0000-0000-0000D93E0000}"/>
    <cellStyle name="Note 2 7 8 4" xfId="11046" xr:uid="{00000000-0005-0000-0000-0000DA3E0000}"/>
    <cellStyle name="Note 2 7 8 4 2" xfId="25878" xr:uid="{00000000-0005-0000-0000-0000DB3E0000}"/>
    <cellStyle name="Note 2 7 8 5" xfId="21418" xr:uid="{00000000-0005-0000-0000-0000DC3E0000}"/>
    <cellStyle name="Note 2 7 9" xfId="4294" xr:uid="{00000000-0005-0000-0000-0000DD3E0000}"/>
    <cellStyle name="Note 2 7 9 2" xfId="8333" xr:uid="{00000000-0005-0000-0000-0000DE3E0000}"/>
    <cellStyle name="Note 2 7 9 2 2" xfId="17613" xr:uid="{00000000-0005-0000-0000-0000DF3E0000}"/>
    <cellStyle name="Note 2 7 9 2 2 2" xfId="32445" xr:uid="{00000000-0005-0000-0000-0000E03E0000}"/>
    <cellStyle name="Note 2 7 9 2 3" xfId="24021" xr:uid="{00000000-0005-0000-0000-0000E13E0000}"/>
    <cellStyle name="Note 2 7 9 3" xfId="14625" xr:uid="{00000000-0005-0000-0000-0000E23E0000}"/>
    <cellStyle name="Note 2 7 9 3 2" xfId="29457" xr:uid="{00000000-0005-0000-0000-0000E33E0000}"/>
    <cellStyle name="Note 2 7 9 4" xfId="11226" xr:uid="{00000000-0005-0000-0000-0000E43E0000}"/>
    <cellStyle name="Note 2 7 9 4 2" xfId="26058" xr:uid="{00000000-0005-0000-0000-0000E53E0000}"/>
    <cellStyle name="Note 2 7 9 5" xfId="21618" xr:uid="{00000000-0005-0000-0000-0000E63E0000}"/>
    <cellStyle name="Note 2 8" xfId="1223" xr:uid="{00000000-0005-0000-0000-0000E73E0000}"/>
    <cellStyle name="Note 2 8 10" xfId="2309" xr:uid="{00000000-0005-0000-0000-0000E83E0000}"/>
    <cellStyle name="Note 2 8 10 2" xfId="6421" xr:uid="{00000000-0005-0000-0000-0000E93E0000}"/>
    <cellStyle name="Note 2 8 10 2 2" xfId="16514" xr:uid="{00000000-0005-0000-0000-0000EA3E0000}"/>
    <cellStyle name="Note 2 8 10 2 2 2" xfId="31346" xr:uid="{00000000-0005-0000-0000-0000EB3E0000}"/>
    <cellStyle name="Note 2 8 10 2 3" xfId="22823" xr:uid="{00000000-0005-0000-0000-0000EC3E0000}"/>
    <cellStyle name="Note 2 8 10 3" xfId="12649" xr:uid="{00000000-0005-0000-0000-0000ED3E0000}"/>
    <cellStyle name="Note 2 8 10 3 2" xfId="27481" xr:uid="{00000000-0005-0000-0000-0000EE3E0000}"/>
    <cellStyle name="Note 2 8 10 4" xfId="10165" xr:uid="{00000000-0005-0000-0000-0000EF3E0000}"/>
    <cellStyle name="Note 2 8 10 4 2" xfId="24997" xr:uid="{00000000-0005-0000-0000-0000F03E0000}"/>
    <cellStyle name="Note 2 8 10 5" xfId="20472" xr:uid="{00000000-0005-0000-0000-0000F13E0000}"/>
    <cellStyle name="Note 2 8 11" xfId="5272" xr:uid="{00000000-0005-0000-0000-0000F23E0000}"/>
    <cellStyle name="Note 2 8 11 2" xfId="9280" xr:uid="{00000000-0005-0000-0000-0000F33E0000}"/>
    <cellStyle name="Note 2 8 11 2 2" xfId="18147" xr:uid="{00000000-0005-0000-0000-0000F43E0000}"/>
    <cellStyle name="Note 2 8 11 2 2 2" xfId="32979" xr:uid="{00000000-0005-0000-0000-0000F53E0000}"/>
    <cellStyle name="Note 2 8 11 2 3" xfId="24618" xr:uid="{00000000-0005-0000-0000-0000F63E0000}"/>
    <cellStyle name="Note 2 8 11 3" xfId="15588" xr:uid="{00000000-0005-0000-0000-0000F73E0000}"/>
    <cellStyle name="Note 2 8 11 3 2" xfId="30420" xr:uid="{00000000-0005-0000-0000-0000F83E0000}"/>
    <cellStyle name="Note 2 8 11 4" xfId="22129" xr:uid="{00000000-0005-0000-0000-0000F93E0000}"/>
    <cellStyle name="Note 2 8 12" xfId="5430" xr:uid="{00000000-0005-0000-0000-0000FA3E0000}"/>
    <cellStyle name="Note 2 8 12 2" xfId="15666" xr:uid="{00000000-0005-0000-0000-0000FB3E0000}"/>
    <cellStyle name="Note 2 8 12 2 2" xfId="30498" xr:uid="{00000000-0005-0000-0000-0000FC3E0000}"/>
    <cellStyle name="Note 2 8 12 3" xfId="22191" xr:uid="{00000000-0005-0000-0000-0000FD3E0000}"/>
    <cellStyle name="Note 2 8 13" xfId="9361" xr:uid="{00000000-0005-0000-0000-0000FE3E0000}"/>
    <cellStyle name="Note 2 8 13 2" xfId="24667" xr:uid="{00000000-0005-0000-0000-0000FF3E0000}"/>
    <cellStyle name="Note 2 8 14" xfId="5350" xr:uid="{00000000-0005-0000-0000-0000003F0000}"/>
    <cellStyle name="Note 2 8 14 2" xfId="18224" xr:uid="{00000000-0005-0000-0000-0000013F0000}"/>
    <cellStyle name="Note 2 8 2" xfId="1342" xr:uid="{00000000-0005-0000-0000-0000023F0000}"/>
    <cellStyle name="Note 2 8 2 2" xfId="1846" xr:uid="{00000000-0005-0000-0000-0000033F0000}"/>
    <cellStyle name="Note 2 8 2 2 2" xfId="3941" xr:uid="{00000000-0005-0000-0000-0000043F0000}"/>
    <cellStyle name="Note 2 8 2 2 2 2" xfId="7991" xr:uid="{00000000-0005-0000-0000-0000053F0000}"/>
    <cellStyle name="Note 2 8 2 2 2 2 2" xfId="17441" xr:uid="{00000000-0005-0000-0000-0000063F0000}"/>
    <cellStyle name="Note 2 8 2 2 2 2 2 2" xfId="32273" xr:uid="{00000000-0005-0000-0000-0000073F0000}"/>
    <cellStyle name="Note 2 8 2 2 2 2 3" xfId="23792" xr:uid="{00000000-0005-0000-0000-0000083F0000}"/>
    <cellStyle name="Note 2 8 2 2 2 3" xfId="14274" xr:uid="{00000000-0005-0000-0000-0000093F0000}"/>
    <cellStyle name="Note 2 8 2 2 2 3 2" xfId="29106" xr:uid="{00000000-0005-0000-0000-00000A3F0000}"/>
    <cellStyle name="Note 2 8 2 2 2 4" xfId="11056" xr:uid="{00000000-0005-0000-0000-00000B3F0000}"/>
    <cellStyle name="Note 2 8 2 2 2 4 2" xfId="25888" xr:uid="{00000000-0005-0000-0000-00000C3F0000}"/>
    <cellStyle name="Note 2 8 2 2 2 5" xfId="21434" xr:uid="{00000000-0005-0000-0000-00000D3F0000}"/>
    <cellStyle name="Note 2 8 2 2 3" xfId="4824" xr:uid="{00000000-0005-0000-0000-00000E3F0000}"/>
    <cellStyle name="Note 2 8 2 2 3 2" xfId="8863" xr:uid="{00000000-0005-0000-0000-00000F3F0000}"/>
    <cellStyle name="Note 2 8 2 2 3 2 2" xfId="17904" xr:uid="{00000000-0005-0000-0000-0000103F0000}"/>
    <cellStyle name="Note 2 8 2 2 3 2 2 2" xfId="32736" xr:uid="{00000000-0005-0000-0000-0000113F0000}"/>
    <cellStyle name="Note 2 8 2 2 3 2 3" xfId="24361" xr:uid="{00000000-0005-0000-0000-0000123F0000}"/>
    <cellStyle name="Note 2 8 2 2 3 3" xfId="15148" xr:uid="{00000000-0005-0000-0000-0000133F0000}"/>
    <cellStyle name="Note 2 8 2 2 3 3 2" xfId="29980" xr:uid="{00000000-0005-0000-0000-0000143F0000}"/>
    <cellStyle name="Note 2 8 2 2 3 4" xfId="11507" xr:uid="{00000000-0005-0000-0000-0000153F0000}"/>
    <cellStyle name="Note 2 8 2 2 3 4 2" xfId="26339" xr:uid="{00000000-0005-0000-0000-0000163F0000}"/>
    <cellStyle name="Note 2 8 2 2 3 5" xfId="21899" xr:uid="{00000000-0005-0000-0000-0000173F0000}"/>
    <cellStyle name="Note 2 8 2 2 4" xfId="2814" xr:uid="{00000000-0005-0000-0000-0000183F0000}"/>
    <cellStyle name="Note 2 8 2 2 4 2" xfId="6905" xr:uid="{00000000-0005-0000-0000-0000193F0000}"/>
    <cellStyle name="Note 2 8 2 2 4 2 2" xfId="16798" xr:uid="{00000000-0005-0000-0000-00001A3F0000}"/>
    <cellStyle name="Note 2 8 2 2 4 2 2 2" xfId="31630" xr:uid="{00000000-0005-0000-0000-00001B3F0000}"/>
    <cellStyle name="Note 2 8 2 2 4 2 3" xfId="23112" xr:uid="{00000000-0005-0000-0000-00001C3F0000}"/>
    <cellStyle name="Note 2 8 2 2 4 3" xfId="13152" xr:uid="{00000000-0005-0000-0000-00001D3F0000}"/>
    <cellStyle name="Note 2 8 2 2 4 3 2" xfId="27984" xr:uid="{00000000-0005-0000-0000-00001E3F0000}"/>
    <cellStyle name="Note 2 8 2 2 4 4" xfId="10451" xr:uid="{00000000-0005-0000-0000-00001F3F0000}"/>
    <cellStyle name="Note 2 8 2 2 4 4 2" xfId="25283" xr:uid="{00000000-0005-0000-0000-0000203F0000}"/>
    <cellStyle name="Note 2 8 2 2 4 5" xfId="20772" xr:uid="{00000000-0005-0000-0000-0000213F0000}"/>
    <cellStyle name="Note 2 8 2 2 5" xfId="5978" xr:uid="{00000000-0005-0000-0000-0000223F0000}"/>
    <cellStyle name="Note 2 8 2 2 5 2" xfId="16170" xr:uid="{00000000-0005-0000-0000-0000233F0000}"/>
    <cellStyle name="Note 2 8 2 2 5 2 2" xfId="31002" xr:uid="{00000000-0005-0000-0000-0000243F0000}"/>
    <cellStyle name="Note 2 8 2 2 5 3" xfId="22543" xr:uid="{00000000-0005-0000-0000-0000253F0000}"/>
    <cellStyle name="Note 2 8 2 2 6" xfId="12240" xr:uid="{00000000-0005-0000-0000-0000263F0000}"/>
    <cellStyle name="Note 2 8 2 2 6 2" xfId="27072" xr:uid="{00000000-0005-0000-0000-0000273F0000}"/>
    <cellStyle name="Note 2 8 2 2 7" xfId="9836" xr:uid="{00000000-0005-0000-0000-0000283F0000}"/>
    <cellStyle name="Note 2 8 2 2 7 2" xfId="24762" xr:uid="{00000000-0005-0000-0000-0000293F0000}"/>
    <cellStyle name="Note 2 8 2 2 8" xfId="20320" xr:uid="{00000000-0005-0000-0000-00002A3F0000}"/>
    <cellStyle name="Note 2 8 2 3" xfId="3321" xr:uid="{00000000-0005-0000-0000-00002B3F0000}"/>
    <cellStyle name="Note 2 8 2 3 2" xfId="7384" xr:uid="{00000000-0005-0000-0000-00002C3F0000}"/>
    <cellStyle name="Note 2 8 2 3 2 2" xfId="17118" xr:uid="{00000000-0005-0000-0000-00002D3F0000}"/>
    <cellStyle name="Note 2 8 2 3 2 2 2" xfId="31950" xr:uid="{00000000-0005-0000-0000-00002E3F0000}"/>
    <cellStyle name="Note 2 8 2 3 2 3" xfId="23397" xr:uid="{00000000-0005-0000-0000-00002F3F0000}"/>
    <cellStyle name="Note 2 8 2 3 3" xfId="13658" xr:uid="{00000000-0005-0000-0000-0000303F0000}"/>
    <cellStyle name="Note 2 8 2 3 3 2" xfId="28490" xr:uid="{00000000-0005-0000-0000-0000313F0000}"/>
    <cellStyle name="Note 2 8 2 3 4" xfId="10739" xr:uid="{00000000-0005-0000-0000-0000323F0000}"/>
    <cellStyle name="Note 2 8 2 3 4 2" xfId="25571" xr:uid="{00000000-0005-0000-0000-0000333F0000}"/>
    <cellStyle name="Note 2 8 2 3 5" xfId="21085" xr:uid="{00000000-0005-0000-0000-0000343F0000}"/>
    <cellStyle name="Note 2 8 2 4" xfId="4404" xr:uid="{00000000-0005-0000-0000-0000353F0000}"/>
    <cellStyle name="Note 2 8 2 4 2" xfId="8443" xr:uid="{00000000-0005-0000-0000-0000363F0000}"/>
    <cellStyle name="Note 2 8 2 4 2 2" xfId="17664" xr:uid="{00000000-0005-0000-0000-0000373F0000}"/>
    <cellStyle name="Note 2 8 2 4 2 2 2" xfId="32496" xr:uid="{00000000-0005-0000-0000-0000383F0000}"/>
    <cellStyle name="Note 2 8 2 4 2 3" xfId="24101" xr:uid="{00000000-0005-0000-0000-0000393F0000}"/>
    <cellStyle name="Note 2 8 2 4 3" xfId="14733" xr:uid="{00000000-0005-0000-0000-00003A3F0000}"/>
    <cellStyle name="Note 2 8 2 4 3 2" xfId="29565" xr:uid="{00000000-0005-0000-0000-00003B3F0000}"/>
    <cellStyle name="Note 2 8 2 4 4" xfId="11272" xr:uid="{00000000-0005-0000-0000-00003C3F0000}"/>
    <cellStyle name="Note 2 8 2 4 4 2" xfId="26104" xr:uid="{00000000-0005-0000-0000-00003D3F0000}"/>
    <cellStyle name="Note 2 8 2 4 5" xfId="21669" xr:uid="{00000000-0005-0000-0000-00003E3F0000}"/>
    <cellStyle name="Note 2 8 2 5" xfId="2394" xr:uid="{00000000-0005-0000-0000-00003F3F0000}"/>
    <cellStyle name="Note 2 8 2 5 2" xfId="6506" xr:uid="{00000000-0005-0000-0000-0000403F0000}"/>
    <cellStyle name="Note 2 8 2 5 2 2" xfId="16562" xr:uid="{00000000-0005-0000-0000-0000413F0000}"/>
    <cellStyle name="Note 2 8 2 5 2 2 2" xfId="31394" xr:uid="{00000000-0005-0000-0000-0000423F0000}"/>
    <cellStyle name="Note 2 8 2 5 2 3" xfId="22876" xr:uid="{00000000-0005-0000-0000-0000433F0000}"/>
    <cellStyle name="Note 2 8 2 5 3" xfId="12733" xr:uid="{00000000-0005-0000-0000-0000443F0000}"/>
    <cellStyle name="Note 2 8 2 5 3 2" xfId="27565" xr:uid="{00000000-0005-0000-0000-0000453F0000}"/>
    <cellStyle name="Note 2 8 2 5 4" xfId="10212" xr:uid="{00000000-0005-0000-0000-0000463F0000}"/>
    <cellStyle name="Note 2 8 2 5 4 2" xfId="25044" xr:uid="{00000000-0005-0000-0000-0000473F0000}"/>
    <cellStyle name="Note 2 8 2 5 5" xfId="20518" xr:uid="{00000000-0005-0000-0000-0000483F0000}"/>
    <cellStyle name="Note 2 8 2 6" xfId="5519" xr:uid="{00000000-0005-0000-0000-0000493F0000}"/>
    <cellStyle name="Note 2 8 2 6 2" xfId="15754" xr:uid="{00000000-0005-0000-0000-00004A3F0000}"/>
    <cellStyle name="Note 2 8 2 6 2 2" xfId="30586" xr:uid="{00000000-0005-0000-0000-00004B3F0000}"/>
    <cellStyle name="Note 2 8 2 6 3" xfId="22247" xr:uid="{00000000-0005-0000-0000-00004C3F0000}"/>
    <cellStyle name="Note 2 8 2 7" xfId="11769" xr:uid="{00000000-0005-0000-0000-00004D3F0000}"/>
    <cellStyle name="Note 2 8 2 7 2" xfId="26601" xr:uid="{00000000-0005-0000-0000-00004E3F0000}"/>
    <cellStyle name="Note 2 8 2 8" xfId="9440" xr:uid="{00000000-0005-0000-0000-00004F3F0000}"/>
    <cellStyle name="Note 2 8 2 8 2" xfId="19744" xr:uid="{00000000-0005-0000-0000-0000503F0000}"/>
    <cellStyle name="Note 2 8 3" xfId="1512" xr:uid="{00000000-0005-0000-0000-0000513F0000}"/>
    <cellStyle name="Note 2 8 3 2" xfId="2009" xr:uid="{00000000-0005-0000-0000-0000523F0000}"/>
    <cellStyle name="Note 2 8 3 2 2" xfId="3389" xr:uid="{00000000-0005-0000-0000-0000533F0000}"/>
    <cellStyle name="Note 2 8 3 2 2 2" xfId="7452" xr:uid="{00000000-0005-0000-0000-0000543F0000}"/>
    <cellStyle name="Note 2 8 3 2 2 2 2" xfId="17156" xr:uid="{00000000-0005-0000-0000-0000553F0000}"/>
    <cellStyle name="Note 2 8 3 2 2 2 2 2" xfId="31988" xr:uid="{00000000-0005-0000-0000-0000563F0000}"/>
    <cellStyle name="Note 2 8 3 2 2 2 3" xfId="23444" xr:uid="{00000000-0005-0000-0000-0000573F0000}"/>
    <cellStyle name="Note 2 8 3 2 2 3" xfId="13726" xr:uid="{00000000-0005-0000-0000-0000583F0000}"/>
    <cellStyle name="Note 2 8 3 2 2 3 2" xfId="28558" xr:uid="{00000000-0005-0000-0000-0000593F0000}"/>
    <cellStyle name="Note 2 8 3 2 2 4" xfId="10775" xr:uid="{00000000-0005-0000-0000-00005A3F0000}"/>
    <cellStyle name="Note 2 8 3 2 2 4 2" xfId="25607" xr:uid="{00000000-0005-0000-0000-00005B3F0000}"/>
    <cellStyle name="Note 2 8 3 2 2 5" xfId="21126" xr:uid="{00000000-0005-0000-0000-00005C3F0000}"/>
    <cellStyle name="Note 2 8 3 2 3" xfId="4977" xr:uid="{00000000-0005-0000-0000-00005D3F0000}"/>
    <cellStyle name="Note 2 8 3 2 3 2" xfId="9016" xr:uid="{00000000-0005-0000-0000-00005E3F0000}"/>
    <cellStyle name="Note 2 8 3 2 3 2 2" xfId="17954" xr:uid="{00000000-0005-0000-0000-00005F3F0000}"/>
    <cellStyle name="Note 2 8 3 2 3 2 2 2" xfId="32786" xr:uid="{00000000-0005-0000-0000-0000603F0000}"/>
    <cellStyle name="Note 2 8 3 2 3 2 3" xfId="24482" xr:uid="{00000000-0005-0000-0000-0000613F0000}"/>
    <cellStyle name="Note 2 8 3 2 3 3" xfId="15299" xr:uid="{00000000-0005-0000-0000-0000623F0000}"/>
    <cellStyle name="Note 2 8 3 2 3 3 2" xfId="30131" xr:uid="{00000000-0005-0000-0000-0000633F0000}"/>
    <cellStyle name="Note 2 8 3 2 3 4" xfId="11555" xr:uid="{00000000-0005-0000-0000-0000643F0000}"/>
    <cellStyle name="Note 2 8 3 2 3 4 2" xfId="26387" xr:uid="{00000000-0005-0000-0000-0000653F0000}"/>
    <cellStyle name="Note 2 8 3 2 3 5" xfId="22008" xr:uid="{00000000-0005-0000-0000-0000663F0000}"/>
    <cellStyle name="Note 2 8 3 2 4" xfId="2967" xr:uid="{00000000-0005-0000-0000-0000673F0000}"/>
    <cellStyle name="Note 2 8 3 2 4 2" xfId="7047" xr:uid="{00000000-0005-0000-0000-0000683F0000}"/>
    <cellStyle name="Note 2 8 3 2 4 2 2" xfId="16846" xr:uid="{00000000-0005-0000-0000-0000693F0000}"/>
    <cellStyle name="Note 2 8 3 2 4 2 2 2" xfId="31678" xr:uid="{00000000-0005-0000-0000-00006A3F0000}"/>
    <cellStyle name="Note 2 8 3 2 4 2 3" xfId="23221" xr:uid="{00000000-0005-0000-0000-00006B3F0000}"/>
    <cellStyle name="Note 2 8 3 2 4 3" xfId="13305" xr:uid="{00000000-0005-0000-0000-00006C3F0000}"/>
    <cellStyle name="Note 2 8 3 2 4 3 2" xfId="28137" xr:uid="{00000000-0005-0000-0000-00006D3F0000}"/>
    <cellStyle name="Note 2 8 3 2 4 4" xfId="10501" xr:uid="{00000000-0005-0000-0000-00006E3F0000}"/>
    <cellStyle name="Note 2 8 3 2 4 4 2" xfId="25333" xr:uid="{00000000-0005-0000-0000-00006F3F0000}"/>
    <cellStyle name="Note 2 8 3 2 4 5" xfId="20893" xr:uid="{00000000-0005-0000-0000-0000703F0000}"/>
    <cellStyle name="Note 2 8 3 2 5" xfId="6139" xr:uid="{00000000-0005-0000-0000-0000713F0000}"/>
    <cellStyle name="Note 2 8 3 2 5 2" xfId="16326" xr:uid="{00000000-0005-0000-0000-0000723F0000}"/>
    <cellStyle name="Note 2 8 3 2 5 2 2" xfId="31158" xr:uid="{00000000-0005-0000-0000-0000733F0000}"/>
    <cellStyle name="Note 2 8 3 2 5 3" xfId="22672" xr:uid="{00000000-0005-0000-0000-0000743F0000}"/>
    <cellStyle name="Note 2 8 3 2 6" xfId="12396" xr:uid="{00000000-0005-0000-0000-0000753F0000}"/>
    <cellStyle name="Note 2 8 3 2 6 2" xfId="27228" xr:uid="{00000000-0005-0000-0000-0000763F0000}"/>
    <cellStyle name="Note 2 8 3 2 7" xfId="9978" xr:uid="{00000000-0005-0000-0000-0000773F0000}"/>
    <cellStyle name="Note 2 8 3 2 7 2" xfId="24810" xr:uid="{00000000-0005-0000-0000-0000783F0000}"/>
    <cellStyle name="Note 2 8 3 2 8" xfId="20351" xr:uid="{00000000-0005-0000-0000-0000793F0000}"/>
    <cellStyle name="Note 2 8 3 3" xfId="3324" xr:uid="{00000000-0005-0000-0000-00007A3F0000}"/>
    <cellStyle name="Note 2 8 3 3 2" xfId="7387" xr:uid="{00000000-0005-0000-0000-00007B3F0000}"/>
    <cellStyle name="Note 2 8 3 3 2 2" xfId="17120" xr:uid="{00000000-0005-0000-0000-00007C3F0000}"/>
    <cellStyle name="Note 2 8 3 3 2 2 2" xfId="31952" xr:uid="{00000000-0005-0000-0000-00007D3F0000}"/>
    <cellStyle name="Note 2 8 3 3 2 3" xfId="23400" xr:uid="{00000000-0005-0000-0000-00007E3F0000}"/>
    <cellStyle name="Note 2 8 3 3 3" xfId="13661" xr:uid="{00000000-0005-0000-0000-00007F3F0000}"/>
    <cellStyle name="Note 2 8 3 3 3 2" xfId="28493" xr:uid="{00000000-0005-0000-0000-0000803F0000}"/>
    <cellStyle name="Note 2 8 3 3 4" xfId="10741" xr:uid="{00000000-0005-0000-0000-0000813F0000}"/>
    <cellStyle name="Note 2 8 3 3 4 2" xfId="25573" xr:uid="{00000000-0005-0000-0000-0000823F0000}"/>
    <cellStyle name="Note 2 8 3 3 5" xfId="21088" xr:uid="{00000000-0005-0000-0000-0000833F0000}"/>
    <cellStyle name="Note 2 8 3 4" xfId="4557" xr:uid="{00000000-0005-0000-0000-0000843F0000}"/>
    <cellStyle name="Note 2 8 3 4 2" xfId="8596" xr:uid="{00000000-0005-0000-0000-0000853F0000}"/>
    <cellStyle name="Note 2 8 3 4 2 2" xfId="17714" xr:uid="{00000000-0005-0000-0000-0000863F0000}"/>
    <cellStyle name="Note 2 8 3 4 2 2 2" xfId="32546" xr:uid="{00000000-0005-0000-0000-0000873F0000}"/>
    <cellStyle name="Note 2 8 3 4 2 3" xfId="24222" xr:uid="{00000000-0005-0000-0000-0000883F0000}"/>
    <cellStyle name="Note 2 8 3 4 3" xfId="14884" xr:uid="{00000000-0005-0000-0000-0000893F0000}"/>
    <cellStyle name="Note 2 8 3 4 3 2" xfId="29716" xr:uid="{00000000-0005-0000-0000-00008A3F0000}"/>
    <cellStyle name="Note 2 8 3 4 4" xfId="11320" xr:uid="{00000000-0005-0000-0000-00008B3F0000}"/>
    <cellStyle name="Note 2 8 3 4 4 2" xfId="26152" xr:uid="{00000000-0005-0000-0000-00008C3F0000}"/>
    <cellStyle name="Note 2 8 3 4 5" xfId="21778" xr:uid="{00000000-0005-0000-0000-00008D3F0000}"/>
    <cellStyle name="Note 2 8 3 5" xfId="2547" xr:uid="{00000000-0005-0000-0000-00008E3F0000}"/>
    <cellStyle name="Note 2 8 3 5 2" xfId="6653" xr:uid="{00000000-0005-0000-0000-00008F3F0000}"/>
    <cellStyle name="Note 2 8 3 5 2 2" xfId="16611" xr:uid="{00000000-0005-0000-0000-0000903F0000}"/>
    <cellStyle name="Note 2 8 3 5 2 2 2" xfId="31443" xr:uid="{00000000-0005-0000-0000-0000913F0000}"/>
    <cellStyle name="Note 2 8 3 5 2 3" xfId="22991" xr:uid="{00000000-0005-0000-0000-0000923F0000}"/>
    <cellStyle name="Note 2 8 3 5 3" xfId="12885" xr:uid="{00000000-0005-0000-0000-0000933F0000}"/>
    <cellStyle name="Note 2 8 3 5 3 2" xfId="27717" xr:uid="{00000000-0005-0000-0000-0000943F0000}"/>
    <cellStyle name="Note 2 8 3 5 4" xfId="10261" xr:uid="{00000000-0005-0000-0000-0000953F0000}"/>
    <cellStyle name="Note 2 8 3 5 4 2" xfId="25093" xr:uid="{00000000-0005-0000-0000-0000963F0000}"/>
    <cellStyle name="Note 2 8 3 5 5" xfId="20633" xr:uid="{00000000-0005-0000-0000-0000973F0000}"/>
    <cellStyle name="Note 2 8 3 6" xfId="5670" xr:uid="{00000000-0005-0000-0000-0000983F0000}"/>
    <cellStyle name="Note 2 8 3 6 2" xfId="15905" xr:uid="{00000000-0005-0000-0000-0000993F0000}"/>
    <cellStyle name="Note 2 8 3 6 2 2" xfId="30737" xr:uid="{00000000-0005-0000-0000-00009A3F0000}"/>
    <cellStyle name="Note 2 8 3 6 3" xfId="22366" xr:uid="{00000000-0005-0000-0000-00009B3F0000}"/>
    <cellStyle name="Note 2 8 3 7" xfId="11925" xr:uid="{00000000-0005-0000-0000-00009C3F0000}"/>
    <cellStyle name="Note 2 8 3 7 2" xfId="26757" xr:uid="{00000000-0005-0000-0000-00009D3F0000}"/>
    <cellStyle name="Note 2 8 3 8" xfId="9583" xr:uid="{00000000-0005-0000-0000-00009E3F0000}"/>
    <cellStyle name="Note 2 8 3 8 2" xfId="19885" xr:uid="{00000000-0005-0000-0000-00009F3F0000}"/>
    <cellStyle name="Note 2 8 4" xfId="1567" xr:uid="{00000000-0005-0000-0000-0000A03F0000}"/>
    <cellStyle name="Note 2 8 4 2" xfId="2064" xr:uid="{00000000-0005-0000-0000-0000A13F0000}"/>
    <cellStyle name="Note 2 8 4 2 2" xfId="3405" xr:uid="{00000000-0005-0000-0000-0000A23F0000}"/>
    <cellStyle name="Note 2 8 4 2 2 2" xfId="7468" xr:uid="{00000000-0005-0000-0000-0000A33F0000}"/>
    <cellStyle name="Note 2 8 4 2 2 2 2" xfId="17167" xr:uid="{00000000-0005-0000-0000-0000A43F0000}"/>
    <cellStyle name="Note 2 8 4 2 2 2 2 2" xfId="31999" xr:uid="{00000000-0005-0000-0000-0000A53F0000}"/>
    <cellStyle name="Note 2 8 4 2 2 2 3" xfId="23456" xr:uid="{00000000-0005-0000-0000-0000A63F0000}"/>
    <cellStyle name="Note 2 8 4 2 2 3" xfId="13742" xr:uid="{00000000-0005-0000-0000-0000A73F0000}"/>
    <cellStyle name="Note 2 8 4 2 2 3 2" xfId="28574" xr:uid="{00000000-0005-0000-0000-0000A83F0000}"/>
    <cellStyle name="Note 2 8 4 2 2 4" xfId="10786" xr:uid="{00000000-0005-0000-0000-0000A93F0000}"/>
    <cellStyle name="Note 2 8 4 2 2 4 2" xfId="25618" xr:uid="{00000000-0005-0000-0000-0000AA3F0000}"/>
    <cellStyle name="Note 2 8 4 2 2 5" xfId="21134" xr:uid="{00000000-0005-0000-0000-0000AB3F0000}"/>
    <cellStyle name="Note 2 8 4 2 3" xfId="5032" xr:uid="{00000000-0005-0000-0000-0000AC3F0000}"/>
    <cellStyle name="Note 2 8 4 2 3 2" xfId="9071" xr:uid="{00000000-0005-0000-0000-0000AD3F0000}"/>
    <cellStyle name="Note 2 8 4 2 3 2 2" xfId="18004" xr:uid="{00000000-0005-0000-0000-0000AE3F0000}"/>
    <cellStyle name="Note 2 8 4 2 3 2 2 2" xfId="32836" xr:uid="{00000000-0005-0000-0000-0000AF3F0000}"/>
    <cellStyle name="Note 2 8 4 2 3 2 3" xfId="24505" xr:uid="{00000000-0005-0000-0000-0000B03F0000}"/>
    <cellStyle name="Note 2 8 4 2 3 3" xfId="15353" xr:uid="{00000000-0005-0000-0000-0000B13F0000}"/>
    <cellStyle name="Note 2 8 4 2 3 3 2" xfId="30185" xr:uid="{00000000-0005-0000-0000-0000B23F0000}"/>
    <cellStyle name="Note 2 8 4 2 3 4" xfId="11604" xr:uid="{00000000-0005-0000-0000-0000B33F0000}"/>
    <cellStyle name="Note 2 8 4 2 3 4 2" xfId="26436" xr:uid="{00000000-0005-0000-0000-0000B43F0000}"/>
    <cellStyle name="Note 2 8 4 2 3 5" xfId="22025" xr:uid="{00000000-0005-0000-0000-0000B53F0000}"/>
    <cellStyle name="Note 2 8 4 2 4" xfId="3022" xr:uid="{00000000-0005-0000-0000-0000B63F0000}"/>
    <cellStyle name="Note 2 8 4 2 4 2" xfId="7097" xr:uid="{00000000-0005-0000-0000-0000B73F0000}"/>
    <cellStyle name="Note 2 8 4 2 4 2 2" xfId="16895" xr:uid="{00000000-0005-0000-0000-0000B83F0000}"/>
    <cellStyle name="Note 2 8 4 2 4 2 2 2" xfId="31727" xr:uid="{00000000-0005-0000-0000-0000B93F0000}"/>
    <cellStyle name="Note 2 8 4 2 4 2 3" xfId="23238" xr:uid="{00000000-0005-0000-0000-0000BA3F0000}"/>
    <cellStyle name="Note 2 8 4 2 4 3" xfId="13360" xr:uid="{00000000-0005-0000-0000-0000BB3F0000}"/>
    <cellStyle name="Note 2 8 4 2 4 3 2" xfId="28192" xr:uid="{00000000-0005-0000-0000-0000BC3F0000}"/>
    <cellStyle name="Note 2 8 4 2 4 4" xfId="10551" xr:uid="{00000000-0005-0000-0000-0000BD3F0000}"/>
    <cellStyle name="Note 2 8 4 2 4 4 2" xfId="25383" xr:uid="{00000000-0005-0000-0000-0000BE3F0000}"/>
    <cellStyle name="Note 2 8 4 2 4 5" xfId="20916" xr:uid="{00000000-0005-0000-0000-0000BF3F0000}"/>
    <cellStyle name="Note 2 8 4 2 5" xfId="6189" xr:uid="{00000000-0005-0000-0000-0000C03F0000}"/>
    <cellStyle name="Note 2 8 4 2 5 2" xfId="16375" xr:uid="{00000000-0005-0000-0000-0000C13F0000}"/>
    <cellStyle name="Note 2 8 4 2 5 2 2" xfId="31207" xr:uid="{00000000-0005-0000-0000-0000C23F0000}"/>
    <cellStyle name="Note 2 8 4 2 5 3" xfId="22689" xr:uid="{00000000-0005-0000-0000-0000C33F0000}"/>
    <cellStyle name="Note 2 8 4 2 6" xfId="12445" xr:uid="{00000000-0005-0000-0000-0000C43F0000}"/>
    <cellStyle name="Note 2 8 4 2 6 2" xfId="27277" xr:uid="{00000000-0005-0000-0000-0000C53F0000}"/>
    <cellStyle name="Note 2 8 4 2 7" xfId="10027" xr:uid="{00000000-0005-0000-0000-0000C63F0000}"/>
    <cellStyle name="Note 2 8 4 2 7 2" xfId="24859" xr:uid="{00000000-0005-0000-0000-0000C73F0000}"/>
    <cellStyle name="Note 2 8 4 2 8" xfId="20368" xr:uid="{00000000-0005-0000-0000-0000C83F0000}"/>
    <cellStyle name="Note 2 8 4 3" xfId="3174" xr:uid="{00000000-0005-0000-0000-0000C93F0000}"/>
    <cellStyle name="Note 2 8 4 3 2" xfId="7238" xr:uid="{00000000-0005-0000-0000-0000CA3F0000}"/>
    <cellStyle name="Note 2 8 4 3 2 2" xfId="17012" xr:uid="{00000000-0005-0000-0000-0000CB3F0000}"/>
    <cellStyle name="Note 2 8 4 3 2 2 2" xfId="31844" xr:uid="{00000000-0005-0000-0000-0000CC3F0000}"/>
    <cellStyle name="Note 2 8 4 3 2 3" xfId="23298" xr:uid="{00000000-0005-0000-0000-0000CD3F0000}"/>
    <cellStyle name="Note 2 8 4 3 3" xfId="13512" xr:uid="{00000000-0005-0000-0000-0000CE3F0000}"/>
    <cellStyle name="Note 2 8 4 3 3 2" xfId="28344" xr:uid="{00000000-0005-0000-0000-0000CF3F0000}"/>
    <cellStyle name="Note 2 8 4 3 4" xfId="10662" xr:uid="{00000000-0005-0000-0000-0000D03F0000}"/>
    <cellStyle name="Note 2 8 4 3 4 2" xfId="25494" xr:uid="{00000000-0005-0000-0000-0000D13F0000}"/>
    <cellStyle name="Note 2 8 4 3 5" xfId="20988" xr:uid="{00000000-0005-0000-0000-0000D23F0000}"/>
    <cellStyle name="Note 2 8 4 4" xfId="4612" xr:uid="{00000000-0005-0000-0000-0000D33F0000}"/>
    <cellStyle name="Note 2 8 4 4 2" xfId="8651" xr:uid="{00000000-0005-0000-0000-0000D43F0000}"/>
    <cellStyle name="Note 2 8 4 4 2 2" xfId="17764" xr:uid="{00000000-0005-0000-0000-0000D53F0000}"/>
    <cellStyle name="Note 2 8 4 4 2 2 2" xfId="32596" xr:uid="{00000000-0005-0000-0000-0000D63F0000}"/>
    <cellStyle name="Note 2 8 4 4 2 3" xfId="24245" xr:uid="{00000000-0005-0000-0000-0000D73F0000}"/>
    <cellStyle name="Note 2 8 4 4 3" xfId="14938" xr:uid="{00000000-0005-0000-0000-0000D83F0000}"/>
    <cellStyle name="Note 2 8 4 4 3 2" xfId="29770" xr:uid="{00000000-0005-0000-0000-0000D93F0000}"/>
    <cellStyle name="Note 2 8 4 4 4" xfId="11369" xr:uid="{00000000-0005-0000-0000-0000DA3F0000}"/>
    <cellStyle name="Note 2 8 4 4 4 2" xfId="26201" xr:uid="{00000000-0005-0000-0000-0000DB3F0000}"/>
    <cellStyle name="Note 2 8 4 4 5" xfId="21795" xr:uid="{00000000-0005-0000-0000-0000DC3F0000}"/>
    <cellStyle name="Note 2 8 4 5" xfId="2602" xr:uid="{00000000-0005-0000-0000-0000DD3F0000}"/>
    <cellStyle name="Note 2 8 4 5 2" xfId="6703" xr:uid="{00000000-0005-0000-0000-0000DE3F0000}"/>
    <cellStyle name="Note 2 8 4 5 2 2" xfId="16660" xr:uid="{00000000-0005-0000-0000-0000DF3F0000}"/>
    <cellStyle name="Note 2 8 4 5 2 2 2" xfId="31492" xr:uid="{00000000-0005-0000-0000-0000E03F0000}"/>
    <cellStyle name="Note 2 8 4 5 2 3" xfId="23008" xr:uid="{00000000-0005-0000-0000-0000E13F0000}"/>
    <cellStyle name="Note 2 8 4 5 3" xfId="12940" xr:uid="{00000000-0005-0000-0000-0000E23F0000}"/>
    <cellStyle name="Note 2 8 4 5 3 2" xfId="27772" xr:uid="{00000000-0005-0000-0000-0000E33F0000}"/>
    <cellStyle name="Note 2 8 4 5 4" xfId="10311" xr:uid="{00000000-0005-0000-0000-0000E43F0000}"/>
    <cellStyle name="Note 2 8 4 5 4 2" xfId="25143" xr:uid="{00000000-0005-0000-0000-0000E53F0000}"/>
    <cellStyle name="Note 2 8 4 5 5" xfId="20656" xr:uid="{00000000-0005-0000-0000-0000E63F0000}"/>
    <cellStyle name="Note 2 8 4 6" xfId="5719" xr:uid="{00000000-0005-0000-0000-0000E73F0000}"/>
    <cellStyle name="Note 2 8 4 6 2" xfId="15954" xr:uid="{00000000-0005-0000-0000-0000E83F0000}"/>
    <cellStyle name="Note 2 8 4 6 2 2" xfId="30786" xr:uid="{00000000-0005-0000-0000-0000E93F0000}"/>
    <cellStyle name="Note 2 8 4 6 3" xfId="22383" xr:uid="{00000000-0005-0000-0000-0000EA3F0000}"/>
    <cellStyle name="Note 2 8 4 7" xfId="11974" xr:uid="{00000000-0005-0000-0000-0000EB3F0000}"/>
    <cellStyle name="Note 2 8 4 7 2" xfId="26806" xr:uid="{00000000-0005-0000-0000-0000EC3F0000}"/>
    <cellStyle name="Note 2 8 4 8" xfId="9633" xr:uid="{00000000-0005-0000-0000-0000ED3F0000}"/>
    <cellStyle name="Note 2 8 4 8 2" xfId="19934" xr:uid="{00000000-0005-0000-0000-0000EE3F0000}"/>
    <cellStyle name="Note 2 8 5" xfId="1617" xr:uid="{00000000-0005-0000-0000-0000EF3F0000}"/>
    <cellStyle name="Note 2 8 5 2" xfId="2114" xr:uid="{00000000-0005-0000-0000-0000F03F0000}"/>
    <cellStyle name="Note 2 8 5 2 2" xfId="3942" xr:uid="{00000000-0005-0000-0000-0000F13F0000}"/>
    <cellStyle name="Note 2 8 5 2 2 2" xfId="7992" xr:uid="{00000000-0005-0000-0000-0000F23F0000}"/>
    <cellStyle name="Note 2 8 5 2 2 2 2" xfId="17442" xr:uid="{00000000-0005-0000-0000-0000F33F0000}"/>
    <cellStyle name="Note 2 8 5 2 2 2 2 2" xfId="32274" xr:uid="{00000000-0005-0000-0000-0000F43F0000}"/>
    <cellStyle name="Note 2 8 5 2 2 2 3" xfId="23793" xr:uid="{00000000-0005-0000-0000-0000F53F0000}"/>
    <cellStyle name="Note 2 8 5 2 2 3" xfId="14275" xr:uid="{00000000-0005-0000-0000-0000F63F0000}"/>
    <cellStyle name="Note 2 8 5 2 2 3 2" xfId="29107" xr:uid="{00000000-0005-0000-0000-0000F73F0000}"/>
    <cellStyle name="Note 2 8 5 2 2 4" xfId="11057" xr:uid="{00000000-0005-0000-0000-0000F83F0000}"/>
    <cellStyle name="Note 2 8 5 2 2 4 2" xfId="25889" xr:uid="{00000000-0005-0000-0000-0000F93F0000}"/>
    <cellStyle name="Note 2 8 5 2 2 5" xfId="21435" xr:uid="{00000000-0005-0000-0000-0000FA3F0000}"/>
    <cellStyle name="Note 2 8 5 2 3" xfId="5082" xr:uid="{00000000-0005-0000-0000-0000FB3F0000}"/>
    <cellStyle name="Note 2 8 5 2 3 2" xfId="9121" xr:uid="{00000000-0005-0000-0000-0000FC3F0000}"/>
    <cellStyle name="Note 2 8 5 2 3 2 2" xfId="18049" xr:uid="{00000000-0005-0000-0000-0000FD3F0000}"/>
    <cellStyle name="Note 2 8 5 2 3 2 2 2" xfId="32881" xr:uid="{00000000-0005-0000-0000-0000FE3F0000}"/>
    <cellStyle name="Note 2 8 5 2 3 2 3" xfId="24523" xr:uid="{00000000-0005-0000-0000-0000FF3F0000}"/>
    <cellStyle name="Note 2 8 5 2 3 3" xfId="15402" xr:uid="{00000000-0005-0000-0000-000000400000}"/>
    <cellStyle name="Note 2 8 5 2 3 3 2" xfId="30234" xr:uid="{00000000-0005-0000-0000-000001400000}"/>
    <cellStyle name="Note 2 8 5 2 3 4" xfId="11648" xr:uid="{00000000-0005-0000-0000-000002400000}"/>
    <cellStyle name="Note 2 8 5 2 3 4 2" xfId="26480" xr:uid="{00000000-0005-0000-0000-000003400000}"/>
    <cellStyle name="Note 2 8 5 2 3 5" xfId="22037" xr:uid="{00000000-0005-0000-0000-000004400000}"/>
    <cellStyle name="Note 2 8 5 2 4" xfId="3072" xr:uid="{00000000-0005-0000-0000-000005400000}"/>
    <cellStyle name="Note 2 8 5 2 4 2" xfId="7142" xr:uid="{00000000-0005-0000-0000-000006400000}"/>
    <cellStyle name="Note 2 8 5 2 4 2 2" xfId="16939" xr:uid="{00000000-0005-0000-0000-000007400000}"/>
    <cellStyle name="Note 2 8 5 2 4 2 2 2" xfId="31771" xr:uid="{00000000-0005-0000-0000-000008400000}"/>
    <cellStyle name="Note 2 8 5 2 4 2 3" xfId="23250" xr:uid="{00000000-0005-0000-0000-000009400000}"/>
    <cellStyle name="Note 2 8 5 2 4 3" xfId="13410" xr:uid="{00000000-0005-0000-0000-00000A400000}"/>
    <cellStyle name="Note 2 8 5 2 4 3 2" xfId="28242" xr:uid="{00000000-0005-0000-0000-00000B400000}"/>
    <cellStyle name="Note 2 8 5 2 4 4" xfId="10596" xr:uid="{00000000-0005-0000-0000-00000C400000}"/>
    <cellStyle name="Note 2 8 5 2 4 4 2" xfId="25428" xr:uid="{00000000-0005-0000-0000-00000D400000}"/>
    <cellStyle name="Note 2 8 5 2 4 5" xfId="20934" xr:uid="{00000000-0005-0000-0000-00000E400000}"/>
    <cellStyle name="Note 2 8 5 2 5" xfId="6234" xr:uid="{00000000-0005-0000-0000-00000F400000}"/>
    <cellStyle name="Note 2 8 5 2 5 2" xfId="16419" xr:uid="{00000000-0005-0000-0000-000010400000}"/>
    <cellStyle name="Note 2 8 5 2 5 2 2" xfId="31251" xr:uid="{00000000-0005-0000-0000-000011400000}"/>
    <cellStyle name="Note 2 8 5 2 5 3" xfId="22701" xr:uid="{00000000-0005-0000-0000-000012400000}"/>
    <cellStyle name="Note 2 8 5 2 6" xfId="12489" xr:uid="{00000000-0005-0000-0000-000013400000}"/>
    <cellStyle name="Note 2 8 5 2 6 2" xfId="27321" xr:uid="{00000000-0005-0000-0000-000014400000}"/>
    <cellStyle name="Note 2 8 5 2 7" xfId="10071" xr:uid="{00000000-0005-0000-0000-000015400000}"/>
    <cellStyle name="Note 2 8 5 2 7 2" xfId="24903" xr:uid="{00000000-0005-0000-0000-000016400000}"/>
    <cellStyle name="Note 2 8 5 2 8" xfId="20380" xr:uid="{00000000-0005-0000-0000-000017400000}"/>
    <cellStyle name="Note 2 8 5 3" xfId="3506" xr:uid="{00000000-0005-0000-0000-000018400000}"/>
    <cellStyle name="Note 2 8 5 3 2" xfId="7568" xr:uid="{00000000-0005-0000-0000-000019400000}"/>
    <cellStyle name="Note 2 8 5 3 2 2" xfId="17226" xr:uid="{00000000-0005-0000-0000-00001A400000}"/>
    <cellStyle name="Note 2 8 5 3 2 2 2" xfId="32058" xr:uid="{00000000-0005-0000-0000-00001B400000}"/>
    <cellStyle name="Note 2 8 5 3 2 3" xfId="23520" xr:uid="{00000000-0005-0000-0000-00001C400000}"/>
    <cellStyle name="Note 2 8 5 3 3" xfId="13843" xr:uid="{00000000-0005-0000-0000-00001D400000}"/>
    <cellStyle name="Note 2 8 5 3 3 2" xfId="28675" xr:uid="{00000000-0005-0000-0000-00001E400000}"/>
    <cellStyle name="Note 2 8 5 3 4" xfId="10844" xr:uid="{00000000-0005-0000-0000-00001F400000}"/>
    <cellStyle name="Note 2 8 5 3 4 2" xfId="25676" xr:uid="{00000000-0005-0000-0000-000020400000}"/>
    <cellStyle name="Note 2 8 5 3 5" xfId="21195" xr:uid="{00000000-0005-0000-0000-000021400000}"/>
    <cellStyle name="Note 2 8 5 4" xfId="4662" xr:uid="{00000000-0005-0000-0000-000022400000}"/>
    <cellStyle name="Note 2 8 5 4 2" xfId="8701" xr:uid="{00000000-0005-0000-0000-000023400000}"/>
    <cellStyle name="Note 2 8 5 4 2 2" xfId="17809" xr:uid="{00000000-0005-0000-0000-000024400000}"/>
    <cellStyle name="Note 2 8 5 4 2 2 2" xfId="32641" xr:uid="{00000000-0005-0000-0000-000025400000}"/>
    <cellStyle name="Note 2 8 5 4 2 3" xfId="24263" xr:uid="{00000000-0005-0000-0000-000026400000}"/>
    <cellStyle name="Note 2 8 5 4 3" xfId="14987" xr:uid="{00000000-0005-0000-0000-000027400000}"/>
    <cellStyle name="Note 2 8 5 4 3 2" xfId="29819" xr:uid="{00000000-0005-0000-0000-000028400000}"/>
    <cellStyle name="Note 2 8 5 4 4" xfId="11413" xr:uid="{00000000-0005-0000-0000-000029400000}"/>
    <cellStyle name="Note 2 8 5 4 4 2" xfId="26245" xr:uid="{00000000-0005-0000-0000-00002A400000}"/>
    <cellStyle name="Note 2 8 5 4 5" xfId="21807" xr:uid="{00000000-0005-0000-0000-00002B400000}"/>
    <cellStyle name="Note 2 8 5 5" xfId="2652" xr:uid="{00000000-0005-0000-0000-00002C400000}"/>
    <cellStyle name="Note 2 8 5 5 2" xfId="6748" xr:uid="{00000000-0005-0000-0000-00002D400000}"/>
    <cellStyle name="Note 2 8 5 5 2 2" xfId="16704" xr:uid="{00000000-0005-0000-0000-00002E400000}"/>
    <cellStyle name="Note 2 8 5 5 2 2 2" xfId="31536" xr:uid="{00000000-0005-0000-0000-00002F400000}"/>
    <cellStyle name="Note 2 8 5 5 2 3" xfId="23020" xr:uid="{00000000-0005-0000-0000-000030400000}"/>
    <cellStyle name="Note 2 8 5 5 3" xfId="12990" xr:uid="{00000000-0005-0000-0000-000031400000}"/>
    <cellStyle name="Note 2 8 5 5 3 2" xfId="27822" xr:uid="{00000000-0005-0000-0000-000032400000}"/>
    <cellStyle name="Note 2 8 5 5 4" xfId="10356" xr:uid="{00000000-0005-0000-0000-000033400000}"/>
    <cellStyle name="Note 2 8 5 5 4 2" xfId="25188" xr:uid="{00000000-0005-0000-0000-000034400000}"/>
    <cellStyle name="Note 2 8 5 5 5" xfId="20674" xr:uid="{00000000-0005-0000-0000-000035400000}"/>
    <cellStyle name="Note 2 8 5 6" xfId="5764" xr:uid="{00000000-0005-0000-0000-000036400000}"/>
    <cellStyle name="Note 2 8 5 6 2" xfId="15998" xr:uid="{00000000-0005-0000-0000-000037400000}"/>
    <cellStyle name="Note 2 8 5 6 2 2" xfId="30830" xr:uid="{00000000-0005-0000-0000-000038400000}"/>
    <cellStyle name="Note 2 8 5 6 3" xfId="22395" xr:uid="{00000000-0005-0000-0000-000039400000}"/>
    <cellStyle name="Note 2 8 5 7" xfId="12018" xr:uid="{00000000-0005-0000-0000-00003A400000}"/>
    <cellStyle name="Note 2 8 5 7 2" xfId="26850" xr:uid="{00000000-0005-0000-0000-00003B400000}"/>
    <cellStyle name="Note 2 8 5 8" xfId="9678" xr:uid="{00000000-0005-0000-0000-00003C400000}"/>
    <cellStyle name="Note 2 8 5 8 2" xfId="19978" xr:uid="{00000000-0005-0000-0000-00003D400000}"/>
    <cellStyle name="Note 2 8 6" xfId="1768" xr:uid="{00000000-0005-0000-0000-00003E400000}"/>
    <cellStyle name="Note 2 8 6 2" xfId="3699" xr:uid="{00000000-0005-0000-0000-00003F400000}"/>
    <cellStyle name="Note 2 8 6 2 2" xfId="7755" xr:uid="{00000000-0005-0000-0000-000040400000}"/>
    <cellStyle name="Note 2 8 6 2 2 2" xfId="17323" xr:uid="{00000000-0005-0000-0000-000041400000}"/>
    <cellStyle name="Note 2 8 6 2 2 2 2" xfId="32155" xr:uid="{00000000-0005-0000-0000-000042400000}"/>
    <cellStyle name="Note 2 8 6 2 2 3" xfId="23639" xr:uid="{00000000-0005-0000-0000-000043400000}"/>
    <cellStyle name="Note 2 8 6 2 3" xfId="14034" xr:uid="{00000000-0005-0000-0000-000044400000}"/>
    <cellStyle name="Note 2 8 6 2 3 2" xfId="28866" xr:uid="{00000000-0005-0000-0000-000045400000}"/>
    <cellStyle name="Note 2 8 6 2 4" xfId="10941" xr:uid="{00000000-0005-0000-0000-000046400000}"/>
    <cellStyle name="Note 2 8 6 2 4 2" xfId="25773" xr:uid="{00000000-0005-0000-0000-000047400000}"/>
    <cellStyle name="Note 2 8 6 2 5" xfId="21300" xr:uid="{00000000-0005-0000-0000-000048400000}"/>
    <cellStyle name="Note 2 8 6 3" xfId="4746" xr:uid="{00000000-0005-0000-0000-000049400000}"/>
    <cellStyle name="Note 2 8 6 3 2" xfId="8785" xr:uid="{00000000-0005-0000-0000-00004A400000}"/>
    <cellStyle name="Note 2 8 6 3 2 2" xfId="17857" xr:uid="{00000000-0005-0000-0000-00004B400000}"/>
    <cellStyle name="Note 2 8 6 3 2 2 2" xfId="32689" xr:uid="{00000000-0005-0000-0000-00004C400000}"/>
    <cellStyle name="Note 2 8 6 3 2 3" xfId="24315" xr:uid="{00000000-0005-0000-0000-00004D400000}"/>
    <cellStyle name="Note 2 8 6 3 3" xfId="15070" xr:uid="{00000000-0005-0000-0000-00004E400000}"/>
    <cellStyle name="Note 2 8 6 3 3 2" xfId="29902" xr:uid="{00000000-0005-0000-0000-00004F400000}"/>
    <cellStyle name="Note 2 8 6 3 4" xfId="11460" xr:uid="{00000000-0005-0000-0000-000050400000}"/>
    <cellStyle name="Note 2 8 6 3 4 2" xfId="26292" xr:uid="{00000000-0005-0000-0000-000051400000}"/>
    <cellStyle name="Note 2 8 6 3 5" xfId="21853" xr:uid="{00000000-0005-0000-0000-000052400000}"/>
    <cellStyle name="Note 2 8 6 4" xfId="2736" xr:uid="{00000000-0005-0000-0000-000053400000}"/>
    <cellStyle name="Note 2 8 6 4 2" xfId="6827" xr:uid="{00000000-0005-0000-0000-000054400000}"/>
    <cellStyle name="Note 2 8 6 4 2 2" xfId="16751" xr:uid="{00000000-0005-0000-0000-000055400000}"/>
    <cellStyle name="Note 2 8 6 4 2 2 2" xfId="31583" xr:uid="{00000000-0005-0000-0000-000056400000}"/>
    <cellStyle name="Note 2 8 6 4 2 3" xfId="23066" xr:uid="{00000000-0005-0000-0000-000057400000}"/>
    <cellStyle name="Note 2 8 6 4 3" xfId="13074" xr:uid="{00000000-0005-0000-0000-000058400000}"/>
    <cellStyle name="Note 2 8 6 4 3 2" xfId="27906" xr:uid="{00000000-0005-0000-0000-000059400000}"/>
    <cellStyle name="Note 2 8 6 4 4" xfId="10404" xr:uid="{00000000-0005-0000-0000-00005A400000}"/>
    <cellStyle name="Note 2 8 6 4 4 2" xfId="25236" xr:uid="{00000000-0005-0000-0000-00005B400000}"/>
    <cellStyle name="Note 2 8 6 4 5" xfId="20726" xr:uid="{00000000-0005-0000-0000-00005C400000}"/>
    <cellStyle name="Note 2 8 6 5" xfId="5900" xr:uid="{00000000-0005-0000-0000-00005D400000}"/>
    <cellStyle name="Note 2 8 6 5 2" xfId="16092" xr:uid="{00000000-0005-0000-0000-00005E400000}"/>
    <cellStyle name="Note 2 8 6 5 2 2" xfId="30924" xr:uid="{00000000-0005-0000-0000-00005F400000}"/>
    <cellStyle name="Note 2 8 6 5 3" xfId="22497" xr:uid="{00000000-0005-0000-0000-000060400000}"/>
    <cellStyle name="Note 2 8 6 6" xfId="12162" xr:uid="{00000000-0005-0000-0000-000061400000}"/>
    <cellStyle name="Note 2 8 6 6 2" xfId="26994" xr:uid="{00000000-0005-0000-0000-000062400000}"/>
    <cellStyle name="Note 2 8 6 7" xfId="9758" xr:uid="{00000000-0005-0000-0000-000063400000}"/>
    <cellStyle name="Note 2 8 6 7 2" xfId="24715" xr:uid="{00000000-0005-0000-0000-000064400000}"/>
    <cellStyle name="Note 2 8 6 8" xfId="20305" xr:uid="{00000000-0005-0000-0000-000065400000}"/>
    <cellStyle name="Note 2 8 7" xfId="2198" xr:uid="{00000000-0005-0000-0000-000066400000}"/>
    <cellStyle name="Note 2 8 7 2" xfId="3421" xr:uid="{00000000-0005-0000-0000-000067400000}"/>
    <cellStyle name="Note 2 8 7 2 2" xfId="7484" xr:uid="{00000000-0005-0000-0000-000068400000}"/>
    <cellStyle name="Note 2 8 7 2 2 2" xfId="17182" xr:uid="{00000000-0005-0000-0000-000069400000}"/>
    <cellStyle name="Note 2 8 7 2 2 2 2" xfId="32014" xr:uid="{00000000-0005-0000-0000-00006A400000}"/>
    <cellStyle name="Note 2 8 7 2 2 3" xfId="23464" xr:uid="{00000000-0005-0000-0000-00006B400000}"/>
    <cellStyle name="Note 2 8 7 2 3" xfId="13758" xr:uid="{00000000-0005-0000-0000-00006C400000}"/>
    <cellStyle name="Note 2 8 7 2 3 2" xfId="28590" xr:uid="{00000000-0005-0000-0000-00006D400000}"/>
    <cellStyle name="Note 2 8 7 2 4" xfId="10801" xr:uid="{00000000-0005-0000-0000-00006E400000}"/>
    <cellStyle name="Note 2 8 7 2 4 2" xfId="25633" xr:uid="{00000000-0005-0000-0000-00006F400000}"/>
    <cellStyle name="Note 2 8 7 2 5" xfId="21141" xr:uid="{00000000-0005-0000-0000-000070400000}"/>
    <cellStyle name="Note 2 8 7 3" xfId="5166" xr:uid="{00000000-0005-0000-0000-000071400000}"/>
    <cellStyle name="Note 2 8 7 3 2" xfId="9205" xr:uid="{00000000-0005-0000-0000-000072400000}"/>
    <cellStyle name="Note 2 8 7 3 2 2" xfId="18128" xr:uid="{00000000-0005-0000-0000-000073400000}"/>
    <cellStyle name="Note 2 8 7 3 2 2 2" xfId="32960" xr:uid="{00000000-0005-0000-0000-000074400000}"/>
    <cellStyle name="Note 2 8 7 3 2 3" xfId="24543" xr:uid="{00000000-0005-0000-0000-000075400000}"/>
    <cellStyle name="Note 2 8 7 3 3" xfId="15484" xr:uid="{00000000-0005-0000-0000-000076400000}"/>
    <cellStyle name="Note 2 8 7 3 3 2" xfId="30316" xr:uid="{00000000-0005-0000-0000-000077400000}"/>
    <cellStyle name="Note 2 8 7 3 4" xfId="11725" xr:uid="{00000000-0005-0000-0000-000078400000}"/>
    <cellStyle name="Note 2 8 7 3 4 2" xfId="26557" xr:uid="{00000000-0005-0000-0000-000079400000}"/>
    <cellStyle name="Note 2 8 7 3 5" xfId="22050" xr:uid="{00000000-0005-0000-0000-00007A400000}"/>
    <cellStyle name="Note 2 8 7 4" xfId="4196" xr:uid="{00000000-0005-0000-0000-00007B400000}"/>
    <cellStyle name="Note 2 8 7 4 2" xfId="8237" xr:uid="{00000000-0005-0000-0000-00007C400000}"/>
    <cellStyle name="Note 2 8 7 4 2 2" xfId="17584" xr:uid="{00000000-0005-0000-0000-00007D400000}"/>
    <cellStyle name="Note 2 8 7 4 2 2 2" xfId="32416" xr:uid="{00000000-0005-0000-0000-00007E400000}"/>
    <cellStyle name="Note 2 8 7 4 2 3" xfId="23932" xr:uid="{00000000-0005-0000-0000-00007F400000}"/>
    <cellStyle name="Note 2 8 7 4 3" xfId="14528" xr:uid="{00000000-0005-0000-0000-000080400000}"/>
    <cellStyle name="Note 2 8 7 4 3 2" xfId="29360" xr:uid="{00000000-0005-0000-0000-000081400000}"/>
    <cellStyle name="Note 2 8 7 4 4" xfId="11204" xr:uid="{00000000-0005-0000-0000-000082400000}"/>
    <cellStyle name="Note 2 8 7 4 4 2" xfId="26036" xr:uid="{00000000-0005-0000-0000-000083400000}"/>
    <cellStyle name="Note 2 8 7 4 5" xfId="21557" xr:uid="{00000000-0005-0000-0000-000084400000}"/>
    <cellStyle name="Note 2 8 7 5" xfId="6312" xr:uid="{00000000-0005-0000-0000-000085400000}"/>
    <cellStyle name="Note 2 8 7 5 2" xfId="16496" xr:uid="{00000000-0005-0000-0000-000086400000}"/>
    <cellStyle name="Note 2 8 7 5 2 2" xfId="31328" xr:uid="{00000000-0005-0000-0000-000087400000}"/>
    <cellStyle name="Note 2 8 7 5 3" xfId="22714" xr:uid="{00000000-0005-0000-0000-000088400000}"/>
    <cellStyle name="Note 2 8 7 6" xfId="12566" xr:uid="{00000000-0005-0000-0000-000089400000}"/>
    <cellStyle name="Note 2 8 7 6 2" xfId="27398" xr:uid="{00000000-0005-0000-0000-00008A400000}"/>
    <cellStyle name="Note 2 8 7 7" xfId="10148" xr:uid="{00000000-0005-0000-0000-00008B400000}"/>
    <cellStyle name="Note 2 8 7 7 2" xfId="24980" xr:uid="{00000000-0005-0000-0000-00008C400000}"/>
    <cellStyle name="Note 2 8 7 8" xfId="20393" xr:uid="{00000000-0005-0000-0000-00008D400000}"/>
    <cellStyle name="Note 2 8 8" xfId="3696" xr:uid="{00000000-0005-0000-0000-00008E400000}"/>
    <cellStyle name="Note 2 8 8 2" xfId="7752" xr:uid="{00000000-0005-0000-0000-00008F400000}"/>
    <cellStyle name="Note 2 8 8 2 2" xfId="17320" xr:uid="{00000000-0005-0000-0000-000090400000}"/>
    <cellStyle name="Note 2 8 8 2 2 2" xfId="32152" xr:uid="{00000000-0005-0000-0000-000091400000}"/>
    <cellStyle name="Note 2 8 8 2 3" xfId="23637" xr:uid="{00000000-0005-0000-0000-000092400000}"/>
    <cellStyle name="Note 2 8 8 3" xfId="14031" xr:uid="{00000000-0005-0000-0000-000093400000}"/>
    <cellStyle name="Note 2 8 8 3 2" xfId="28863" xr:uid="{00000000-0005-0000-0000-000094400000}"/>
    <cellStyle name="Note 2 8 8 4" xfId="10938" xr:uid="{00000000-0005-0000-0000-000095400000}"/>
    <cellStyle name="Note 2 8 8 4 2" xfId="25770" xr:uid="{00000000-0005-0000-0000-000096400000}"/>
    <cellStyle name="Note 2 8 8 5" xfId="21298" xr:uid="{00000000-0005-0000-0000-000097400000}"/>
    <cellStyle name="Note 2 8 9" xfId="4272" xr:uid="{00000000-0005-0000-0000-000098400000}"/>
    <cellStyle name="Note 2 8 9 2" xfId="8311" xr:uid="{00000000-0005-0000-0000-000099400000}"/>
    <cellStyle name="Note 2 8 9 2 2" xfId="17598" xr:uid="{00000000-0005-0000-0000-00009A400000}"/>
    <cellStyle name="Note 2 8 9 2 2 2" xfId="32430" xr:uid="{00000000-0005-0000-0000-00009B400000}"/>
    <cellStyle name="Note 2 8 9 2 3" xfId="24005" xr:uid="{00000000-0005-0000-0000-00009C400000}"/>
    <cellStyle name="Note 2 8 9 3" xfId="14604" xr:uid="{00000000-0005-0000-0000-00009D400000}"/>
    <cellStyle name="Note 2 8 9 3 2" xfId="29436" xr:uid="{00000000-0005-0000-0000-00009E400000}"/>
    <cellStyle name="Note 2 8 9 4" xfId="11217" xr:uid="{00000000-0005-0000-0000-00009F400000}"/>
    <cellStyle name="Note 2 8 9 4 2" xfId="26049" xr:uid="{00000000-0005-0000-0000-0000A0400000}"/>
    <cellStyle name="Note 2 8 9 5" xfId="21605" xr:uid="{00000000-0005-0000-0000-0000A1400000}"/>
    <cellStyle name="Note 2 9" xfId="1335" xr:uid="{00000000-0005-0000-0000-0000A2400000}"/>
    <cellStyle name="Note 2 9 2" xfId="1839" xr:uid="{00000000-0005-0000-0000-0000A3400000}"/>
    <cellStyle name="Note 2 9 2 2" xfId="3585" xr:uid="{00000000-0005-0000-0000-0000A4400000}"/>
    <cellStyle name="Note 2 9 2 2 2" xfId="7647" xr:uid="{00000000-0005-0000-0000-0000A5400000}"/>
    <cellStyle name="Note 2 9 2 2 2 2" xfId="17271" xr:uid="{00000000-0005-0000-0000-0000A6400000}"/>
    <cellStyle name="Note 2 9 2 2 2 2 2" xfId="32103" xr:uid="{00000000-0005-0000-0000-0000A7400000}"/>
    <cellStyle name="Note 2 9 2 2 2 3" xfId="23566" xr:uid="{00000000-0005-0000-0000-0000A8400000}"/>
    <cellStyle name="Note 2 9 2 2 3" xfId="13921" xr:uid="{00000000-0005-0000-0000-0000A9400000}"/>
    <cellStyle name="Note 2 9 2 2 3 2" xfId="28753" xr:uid="{00000000-0005-0000-0000-0000AA400000}"/>
    <cellStyle name="Note 2 9 2 2 4" xfId="10888" xr:uid="{00000000-0005-0000-0000-0000AB400000}"/>
    <cellStyle name="Note 2 9 2 2 4 2" xfId="25720" xr:uid="{00000000-0005-0000-0000-0000AC400000}"/>
    <cellStyle name="Note 2 9 2 2 5" xfId="21235" xr:uid="{00000000-0005-0000-0000-0000AD400000}"/>
    <cellStyle name="Note 2 9 2 3" xfId="4817" xr:uid="{00000000-0005-0000-0000-0000AE400000}"/>
    <cellStyle name="Note 2 9 2 3 2" xfId="8856" xr:uid="{00000000-0005-0000-0000-0000AF400000}"/>
    <cellStyle name="Note 2 9 2 3 2 2" xfId="17897" xr:uid="{00000000-0005-0000-0000-0000B0400000}"/>
    <cellStyle name="Note 2 9 2 3 2 2 2" xfId="32729" xr:uid="{00000000-0005-0000-0000-0000B1400000}"/>
    <cellStyle name="Note 2 9 2 3 2 3" xfId="24354" xr:uid="{00000000-0005-0000-0000-0000B2400000}"/>
    <cellStyle name="Note 2 9 2 3 3" xfId="15141" xr:uid="{00000000-0005-0000-0000-0000B3400000}"/>
    <cellStyle name="Note 2 9 2 3 3 2" xfId="29973" xr:uid="{00000000-0005-0000-0000-0000B4400000}"/>
    <cellStyle name="Note 2 9 2 3 4" xfId="11500" xr:uid="{00000000-0005-0000-0000-0000B5400000}"/>
    <cellStyle name="Note 2 9 2 3 4 2" xfId="26332" xr:uid="{00000000-0005-0000-0000-0000B6400000}"/>
    <cellStyle name="Note 2 9 2 3 5" xfId="21892" xr:uid="{00000000-0005-0000-0000-0000B7400000}"/>
    <cellStyle name="Note 2 9 2 4" xfId="2807" xr:uid="{00000000-0005-0000-0000-0000B8400000}"/>
    <cellStyle name="Note 2 9 2 4 2" xfId="6898" xr:uid="{00000000-0005-0000-0000-0000B9400000}"/>
    <cellStyle name="Note 2 9 2 4 2 2" xfId="16791" xr:uid="{00000000-0005-0000-0000-0000BA400000}"/>
    <cellStyle name="Note 2 9 2 4 2 2 2" xfId="31623" xr:uid="{00000000-0005-0000-0000-0000BB400000}"/>
    <cellStyle name="Note 2 9 2 4 2 3" xfId="23105" xr:uid="{00000000-0005-0000-0000-0000BC400000}"/>
    <cellStyle name="Note 2 9 2 4 3" xfId="13145" xr:uid="{00000000-0005-0000-0000-0000BD400000}"/>
    <cellStyle name="Note 2 9 2 4 3 2" xfId="27977" xr:uid="{00000000-0005-0000-0000-0000BE400000}"/>
    <cellStyle name="Note 2 9 2 4 4" xfId="10444" xr:uid="{00000000-0005-0000-0000-0000BF400000}"/>
    <cellStyle name="Note 2 9 2 4 4 2" xfId="25276" xr:uid="{00000000-0005-0000-0000-0000C0400000}"/>
    <cellStyle name="Note 2 9 2 4 5" xfId="20765" xr:uid="{00000000-0005-0000-0000-0000C1400000}"/>
    <cellStyle name="Note 2 9 2 5" xfId="5971" xr:uid="{00000000-0005-0000-0000-0000C2400000}"/>
    <cellStyle name="Note 2 9 2 5 2" xfId="16163" xr:uid="{00000000-0005-0000-0000-0000C3400000}"/>
    <cellStyle name="Note 2 9 2 5 2 2" xfId="30995" xr:uid="{00000000-0005-0000-0000-0000C4400000}"/>
    <cellStyle name="Note 2 9 2 5 3" xfId="22536" xr:uid="{00000000-0005-0000-0000-0000C5400000}"/>
    <cellStyle name="Note 2 9 2 6" xfId="12233" xr:uid="{00000000-0005-0000-0000-0000C6400000}"/>
    <cellStyle name="Note 2 9 2 6 2" xfId="27065" xr:uid="{00000000-0005-0000-0000-0000C7400000}"/>
    <cellStyle name="Note 2 9 2 7" xfId="9829" xr:uid="{00000000-0005-0000-0000-0000C8400000}"/>
    <cellStyle name="Note 2 9 2 7 2" xfId="24755" xr:uid="{00000000-0005-0000-0000-0000C9400000}"/>
    <cellStyle name="Note 2 9 2 8" xfId="20313" xr:uid="{00000000-0005-0000-0000-0000CA400000}"/>
    <cellStyle name="Note 2 9 3" xfId="4052" xr:uid="{00000000-0005-0000-0000-0000CB400000}"/>
    <cellStyle name="Note 2 9 3 2" xfId="8099" xr:uid="{00000000-0005-0000-0000-0000CC400000}"/>
    <cellStyle name="Note 2 9 3 2 2" xfId="17494" xr:uid="{00000000-0005-0000-0000-0000CD400000}"/>
    <cellStyle name="Note 2 9 3 2 2 2" xfId="32326" xr:uid="{00000000-0005-0000-0000-0000CE400000}"/>
    <cellStyle name="Note 2 9 3 2 3" xfId="23861" xr:uid="{00000000-0005-0000-0000-0000CF400000}"/>
    <cellStyle name="Note 2 9 3 3" xfId="14384" xr:uid="{00000000-0005-0000-0000-0000D0400000}"/>
    <cellStyle name="Note 2 9 3 3 2" xfId="29216" xr:uid="{00000000-0005-0000-0000-0000D1400000}"/>
    <cellStyle name="Note 2 9 3 4" xfId="11110" xr:uid="{00000000-0005-0000-0000-0000D2400000}"/>
    <cellStyle name="Note 2 9 3 4 2" xfId="25942" xr:uid="{00000000-0005-0000-0000-0000D3400000}"/>
    <cellStyle name="Note 2 9 3 5" xfId="21495" xr:uid="{00000000-0005-0000-0000-0000D4400000}"/>
    <cellStyle name="Note 2 9 4" xfId="4397" xr:uid="{00000000-0005-0000-0000-0000D5400000}"/>
    <cellStyle name="Note 2 9 4 2" xfId="8436" xr:uid="{00000000-0005-0000-0000-0000D6400000}"/>
    <cellStyle name="Note 2 9 4 2 2" xfId="17657" xr:uid="{00000000-0005-0000-0000-0000D7400000}"/>
    <cellStyle name="Note 2 9 4 2 2 2" xfId="32489" xr:uid="{00000000-0005-0000-0000-0000D8400000}"/>
    <cellStyle name="Note 2 9 4 2 3" xfId="24094" xr:uid="{00000000-0005-0000-0000-0000D9400000}"/>
    <cellStyle name="Note 2 9 4 3" xfId="14726" xr:uid="{00000000-0005-0000-0000-0000DA400000}"/>
    <cellStyle name="Note 2 9 4 3 2" xfId="29558" xr:uid="{00000000-0005-0000-0000-0000DB400000}"/>
    <cellStyle name="Note 2 9 4 4" xfId="11265" xr:uid="{00000000-0005-0000-0000-0000DC400000}"/>
    <cellStyle name="Note 2 9 4 4 2" xfId="26097" xr:uid="{00000000-0005-0000-0000-0000DD400000}"/>
    <cellStyle name="Note 2 9 4 5" xfId="21662" xr:uid="{00000000-0005-0000-0000-0000DE400000}"/>
    <cellStyle name="Note 2 9 5" xfId="2387" xr:uid="{00000000-0005-0000-0000-0000DF400000}"/>
    <cellStyle name="Note 2 9 5 2" xfId="6499" xr:uid="{00000000-0005-0000-0000-0000E0400000}"/>
    <cellStyle name="Note 2 9 5 2 2" xfId="16555" xr:uid="{00000000-0005-0000-0000-0000E1400000}"/>
    <cellStyle name="Note 2 9 5 2 2 2" xfId="31387" xr:uid="{00000000-0005-0000-0000-0000E2400000}"/>
    <cellStyle name="Note 2 9 5 2 3" xfId="22869" xr:uid="{00000000-0005-0000-0000-0000E3400000}"/>
    <cellStyle name="Note 2 9 5 3" xfId="12726" xr:uid="{00000000-0005-0000-0000-0000E4400000}"/>
    <cellStyle name="Note 2 9 5 3 2" xfId="27558" xr:uid="{00000000-0005-0000-0000-0000E5400000}"/>
    <cellStyle name="Note 2 9 5 4" xfId="10205" xr:uid="{00000000-0005-0000-0000-0000E6400000}"/>
    <cellStyle name="Note 2 9 5 4 2" xfId="25037" xr:uid="{00000000-0005-0000-0000-0000E7400000}"/>
    <cellStyle name="Note 2 9 5 5" xfId="20511" xr:uid="{00000000-0005-0000-0000-0000E8400000}"/>
    <cellStyle name="Note 2 9 6" xfId="5512" xr:uid="{00000000-0005-0000-0000-0000E9400000}"/>
    <cellStyle name="Note 2 9 6 2" xfId="15747" xr:uid="{00000000-0005-0000-0000-0000EA400000}"/>
    <cellStyle name="Note 2 9 6 2 2" xfId="30579" xr:uid="{00000000-0005-0000-0000-0000EB400000}"/>
    <cellStyle name="Note 2 9 6 3" xfId="22240" xr:uid="{00000000-0005-0000-0000-0000EC400000}"/>
    <cellStyle name="Note 2 9 7" xfId="11762" xr:uid="{00000000-0005-0000-0000-0000ED400000}"/>
    <cellStyle name="Note 2 9 7 2" xfId="26594" xr:uid="{00000000-0005-0000-0000-0000EE400000}"/>
    <cellStyle name="Note 2 9 8" xfId="9433" xr:uid="{00000000-0005-0000-0000-0000EF400000}"/>
    <cellStyle name="Note 2 9 8 2" xfId="19737" xr:uid="{00000000-0005-0000-0000-0000F0400000}"/>
    <cellStyle name="Note 3" xfId="1224" xr:uid="{00000000-0005-0000-0000-0000F1400000}"/>
    <cellStyle name="Note 3 10" xfId="2310" xr:uid="{00000000-0005-0000-0000-0000F2400000}"/>
    <cellStyle name="Note 3 10 2" xfId="6422" xr:uid="{00000000-0005-0000-0000-0000F3400000}"/>
    <cellStyle name="Note 3 10 2 2" xfId="16515" xr:uid="{00000000-0005-0000-0000-0000F4400000}"/>
    <cellStyle name="Note 3 10 2 2 2" xfId="31347" xr:uid="{00000000-0005-0000-0000-0000F5400000}"/>
    <cellStyle name="Note 3 10 2 3" xfId="22824" xr:uid="{00000000-0005-0000-0000-0000F6400000}"/>
    <cellStyle name="Note 3 10 3" xfId="12650" xr:uid="{00000000-0005-0000-0000-0000F7400000}"/>
    <cellStyle name="Note 3 10 3 2" xfId="27482" xr:uid="{00000000-0005-0000-0000-0000F8400000}"/>
    <cellStyle name="Note 3 10 4" xfId="10166" xr:uid="{00000000-0005-0000-0000-0000F9400000}"/>
    <cellStyle name="Note 3 10 4 2" xfId="24998" xr:uid="{00000000-0005-0000-0000-0000FA400000}"/>
    <cellStyle name="Note 3 10 5" xfId="20473" xr:uid="{00000000-0005-0000-0000-0000FB400000}"/>
    <cellStyle name="Note 3 11" xfId="5273" xr:uid="{00000000-0005-0000-0000-0000FC400000}"/>
    <cellStyle name="Note 3 11 2" xfId="9281" xr:uid="{00000000-0005-0000-0000-0000FD400000}"/>
    <cellStyle name="Note 3 11 2 2" xfId="18148" xr:uid="{00000000-0005-0000-0000-0000FE400000}"/>
    <cellStyle name="Note 3 11 2 2 2" xfId="32980" xr:uid="{00000000-0005-0000-0000-0000FF400000}"/>
    <cellStyle name="Note 3 11 2 3" xfId="24619" xr:uid="{00000000-0005-0000-0000-000000410000}"/>
    <cellStyle name="Note 3 11 3" xfId="15589" xr:uid="{00000000-0005-0000-0000-000001410000}"/>
    <cellStyle name="Note 3 11 3 2" xfId="30421" xr:uid="{00000000-0005-0000-0000-000002410000}"/>
    <cellStyle name="Note 3 11 4" xfId="22130" xr:uid="{00000000-0005-0000-0000-000003410000}"/>
    <cellStyle name="Note 3 12" xfId="5431" xr:uid="{00000000-0005-0000-0000-000004410000}"/>
    <cellStyle name="Note 3 12 2" xfId="15667" xr:uid="{00000000-0005-0000-0000-000005410000}"/>
    <cellStyle name="Note 3 12 2 2" xfId="30499" xr:uid="{00000000-0005-0000-0000-000006410000}"/>
    <cellStyle name="Note 3 12 3" xfId="22192" xr:uid="{00000000-0005-0000-0000-000007410000}"/>
    <cellStyle name="Note 3 13" xfId="9360" xr:uid="{00000000-0005-0000-0000-000008410000}"/>
    <cellStyle name="Note 3 13 2" xfId="24666" xr:uid="{00000000-0005-0000-0000-000009410000}"/>
    <cellStyle name="Note 3 14" xfId="5349" xr:uid="{00000000-0005-0000-0000-00000A410000}"/>
    <cellStyle name="Note 3 14 2" xfId="18223" xr:uid="{00000000-0005-0000-0000-00000B410000}"/>
    <cellStyle name="Note 3 2" xfId="1343" xr:uid="{00000000-0005-0000-0000-00000C410000}"/>
    <cellStyle name="Note 3 2 2" xfId="1847" xr:uid="{00000000-0005-0000-0000-00000D410000}"/>
    <cellStyle name="Note 3 2 2 2" xfId="4015" xr:uid="{00000000-0005-0000-0000-00000E410000}"/>
    <cellStyle name="Note 3 2 2 2 2" xfId="8062" xr:uid="{00000000-0005-0000-0000-00000F410000}"/>
    <cellStyle name="Note 3 2 2 2 2 2" xfId="17475" xr:uid="{00000000-0005-0000-0000-000010410000}"/>
    <cellStyle name="Note 3 2 2 2 2 2 2" xfId="32307" xr:uid="{00000000-0005-0000-0000-000011410000}"/>
    <cellStyle name="Note 3 2 2 2 2 3" xfId="23839" xr:uid="{00000000-0005-0000-0000-000012410000}"/>
    <cellStyle name="Note 3 2 2 2 3" xfId="14347" xr:uid="{00000000-0005-0000-0000-000013410000}"/>
    <cellStyle name="Note 3 2 2 2 3 2" xfId="29179" xr:uid="{00000000-0005-0000-0000-000014410000}"/>
    <cellStyle name="Note 3 2 2 2 4" xfId="11091" xr:uid="{00000000-0005-0000-0000-000015410000}"/>
    <cellStyle name="Note 3 2 2 2 4 2" xfId="25923" xr:uid="{00000000-0005-0000-0000-000016410000}"/>
    <cellStyle name="Note 3 2 2 2 5" xfId="21477" xr:uid="{00000000-0005-0000-0000-000017410000}"/>
    <cellStyle name="Note 3 2 2 3" xfId="4825" xr:uid="{00000000-0005-0000-0000-000018410000}"/>
    <cellStyle name="Note 3 2 2 3 2" xfId="8864" xr:uid="{00000000-0005-0000-0000-000019410000}"/>
    <cellStyle name="Note 3 2 2 3 2 2" xfId="17905" xr:uid="{00000000-0005-0000-0000-00001A410000}"/>
    <cellStyle name="Note 3 2 2 3 2 2 2" xfId="32737" xr:uid="{00000000-0005-0000-0000-00001B410000}"/>
    <cellStyle name="Note 3 2 2 3 2 3" xfId="24362" xr:uid="{00000000-0005-0000-0000-00001C410000}"/>
    <cellStyle name="Note 3 2 2 3 3" xfId="15149" xr:uid="{00000000-0005-0000-0000-00001D410000}"/>
    <cellStyle name="Note 3 2 2 3 3 2" xfId="29981" xr:uid="{00000000-0005-0000-0000-00001E410000}"/>
    <cellStyle name="Note 3 2 2 3 4" xfId="11508" xr:uid="{00000000-0005-0000-0000-00001F410000}"/>
    <cellStyle name="Note 3 2 2 3 4 2" xfId="26340" xr:uid="{00000000-0005-0000-0000-000020410000}"/>
    <cellStyle name="Note 3 2 2 3 5" xfId="21900" xr:uid="{00000000-0005-0000-0000-000021410000}"/>
    <cellStyle name="Note 3 2 2 4" xfId="2815" xr:uid="{00000000-0005-0000-0000-000022410000}"/>
    <cellStyle name="Note 3 2 2 4 2" xfId="6906" xr:uid="{00000000-0005-0000-0000-000023410000}"/>
    <cellStyle name="Note 3 2 2 4 2 2" xfId="16799" xr:uid="{00000000-0005-0000-0000-000024410000}"/>
    <cellStyle name="Note 3 2 2 4 2 2 2" xfId="31631" xr:uid="{00000000-0005-0000-0000-000025410000}"/>
    <cellStyle name="Note 3 2 2 4 2 3" xfId="23113" xr:uid="{00000000-0005-0000-0000-000026410000}"/>
    <cellStyle name="Note 3 2 2 4 3" xfId="13153" xr:uid="{00000000-0005-0000-0000-000027410000}"/>
    <cellStyle name="Note 3 2 2 4 3 2" xfId="27985" xr:uid="{00000000-0005-0000-0000-000028410000}"/>
    <cellStyle name="Note 3 2 2 4 4" xfId="10452" xr:uid="{00000000-0005-0000-0000-000029410000}"/>
    <cellStyle name="Note 3 2 2 4 4 2" xfId="25284" xr:uid="{00000000-0005-0000-0000-00002A410000}"/>
    <cellStyle name="Note 3 2 2 4 5" xfId="20773" xr:uid="{00000000-0005-0000-0000-00002B410000}"/>
    <cellStyle name="Note 3 2 2 5" xfId="5979" xr:uid="{00000000-0005-0000-0000-00002C410000}"/>
    <cellStyle name="Note 3 2 2 5 2" xfId="16171" xr:uid="{00000000-0005-0000-0000-00002D410000}"/>
    <cellStyle name="Note 3 2 2 5 2 2" xfId="31003" xr:uid="{00000000-0005-0000-0000-00002E410000}"/>
    <cellStyle name="Note 3 2 2 5 3" xfId="22544" xr:uid="{00000000-0005-0000-0000-00002F410000}"/>
    <cellStyle name="Note 3 2 2 6" xfId="12241" xr:uid="{00000000-0005-0000-0000-000030410000}"/>
    <cellStyle name="Note 3 2 2 6 2" xfId="27073" xr:uid="{00000000-0005-0000-0000-000031410000}"/>
    <cellStyle name="Note 3 2 2 7" xfId="9837" xr:uid="{00000000-0005-0000-0000-000032410000}"/>
    <cellStyle name="Note 3 2 2 7 2" xfId="24763" xr:uid="{00000000-0005-0000-0000-000033410000}"/>
    <cellStyle name="Note 3 2 2 8" xfId="20321" xr:uid="{00000000-0005-0000-0000-000034410000}"/>
    <cellStyle name="Note 3 2 3" xfId="3430" xr:uid="{00000000-0005-0000-0000-000035410000}"/>
    <cellStyle name="Note 3 2 3 2" xfId="7493" xr:uid="{00000000-0005-0000-0000-000036410000}"/>
    <cellStyle name="Note 3 2 3 2 2" xfId="17187" xr:uid="{00000000-0005-0000-0000-000037410000}"/>
    <cellStyle name="Note 3 2 3 2 2 2" xfId="32019" xr:uid="{00000000-0005-0000-0000-000038410000}"/>
    <cellStyle name="Note 3 2 3 2 3" xfId="23470" xr:uid="{00000000-0005-0000-0000-000039410000}"/>
    <cellStyle name="Note 3 2 3 3" xfId="13767" xr:uid="{00000000-0005-0000-0000-00003A410000}"/>
    <cellStyle name="Note 3 2 3 3 2" xfId="28599" xr:uid="{00000000-0005-0000-0000-00003B410000}"/>
    <cellStyle name="Note 3 2 3 4" xfId="10806" xr:uid="{00000000-0005-0000-0000-00003C410000}"/>
    <cellStyle name="Note 3 2 3 4 2" xfId="25638" xr:uid="{00000000-0005-0000-0000-00003D410000}"/>
    <cellStyle name="Note 3 2 3 5" xfId="21146" xr:uid="{00000000-0005-0000-0000-00003E410000}"/>
    <cellStyle name="Note 3 2 4" xfId="4405" xr:uid="{00000000-0005-0000-0000-00003F410000}"/>
    <cellStyle name="Note 3 2 4 2" xfId="8444" xr:uid="{00000000-0005-0000-0000-000040410000}"/>
    <cellStyle name="Note 3 2 4 2 2" xfId="17665" xr:uid="{00000000-0005-0000-0000-000041410000}"/>
    <cellStyle name="Note 3 2 4 2 2 2" xfId="32497" xr:uid="{00000000-0005-0000-0000-000042410000}"/>
    <cellStyle name="Note 3 2 4 2 3" xfId="24102" xr:uid="{00000000-0005-0000-0000-000043410000}"/>
    <cellStyle name="Note 3 2 4 3" xfId="14734" xr:uid="{00000000-0005-0000-0000-000044410000}"/>
    <cellStyle name="Note 3 2 4 3 2" xfId="29566" xr:uid="{00000000-0005-0000-0000-000045410000}"/>
    <cellStyle name="Note 3 2 4 4" xfId="11273" xr:uid="{00000000-0005-0000-0000-000046410000}"/>
    <cellStyle name="Note 3 2 4 4 2" xfId="26105" xr:uid="{00000000-0005-0000-0000-000047410000}"/>
    <cellStyle name="Note 3 2 4 5" xfId="21670" xr:uid="{00000000-0005-0000-0000-000048410000}"/>
    <cellStyle name="Note 3 2 5" xfId="2395" xr:uid="{00000000-0005-0000-0000-000049410000}"/>
    <cellStyle name="Note 3 2 5 2" xfId="6507" xr:uid="{00000000-0005-0000-0000-00004A410000}"/>
    <cellStyle name="Note 3 2 5 2 2" xfId="16563" xr:uid="{00000000-0005-0000-0000-00004B410000}"/>
    <cellStyle name="Note 3 2 5 2 2 2" xfId="31395" xr:uid="{00000000-0005-0000-0000-00004C410000}"/>
    <cellStyle name="Note 3 2 5 2 3" xfId="22877" xr:uid="{00000000-0005-0000-0000-00004D410000}"/>
    <cellStyle name="Note 3 2 5 3" xfId="12734" xr:uid="{00000000-0005-0000-0000-00004E410000}"/>
    <cellStyle name="Note 3 2 5 3 2" xfId="27566" xr:uid="{00000000-0005-0000-0000-00004F410000}"/>
    <cellStyle name="Note 3 2 5 4" xfId="10213" xr:uid="{00000000-0005-0000-0000-000050410000}"/>
    <cellStyle name="Note 3 2 5 4 2" xfId="25045" xr:uid="{00000000-0005-0000-0000-000051410000}"/>
    <cellStyle name="Note 3 2 5 5" xfId="20519" xr:uid="{00000000-0005-0000-0000-000052410000}"/>
    <cellStyle name="Note 3 2 6" xfId="5520" xr:uid="{00000000-0005-0000-0000-000053410000}"/>
    <cellStyle name="Note 3 2 6 2" xfId="15755" xr:uid="{00000000-0005-0000-0000-000054410000}"/>
    <cellStyle name="Note 3 2 6 2 2" xfId="30587" xr:uid="{00000000-0005-0000-0000-000055410000}"/>
    <cellStyle name="Note 3 2 6 3" xfId="22248" xr:uid="{00000000-0005-0000-0000-000056410000}"/>
    <cellStyle name="Note 3 2 7" xfId="11770" xr:uid="{00000000-0005-0000-0000-000057410000}"/>
    <cellStyle name="Note 3 2 7 2" xfId="26602" xr:uid="{00000000-0005-0000-0000-000058410000}"/>
    <cellStyle name="Note 3 2 8" xfId="9441" xr:uid="{00000000-0005-0000-0000-000059410000}"/>
    <cellStyle name="Note 3 2 8 2" xfId="19745" xr:uid="{00000000-0005-0000-0000-00005A410000}"/>
    <cellStyle name="Note 3 3" xfId="1513" xr:uid="{00000000-0005-0000-0000-00005B410000}"/>
    <cellStyle name="Note 3 3 2" xfId="2010" xr:uid="{00000000-0005-0000-0000-00005C410000}"/>
    <cellStyle name="Note 3 3 2 2" xfId="3872" xr:uid="{00000000-0005-0000-0000-00005D410000}"/>
    <cellStyle name="Note 3 3 2 2 2" xfId="7924" xr:uid="{00000000-0005-0000-0000-00005E410000}"/>
    <cellStyle name="Note 3 3 2 2 2 2" xfId="17403" xr:uid="{00000000-0005-0000-0000-00005F410000}"/>
    <cellStyle name="Note 3 3 2 2 2 2 2" xfId="32235" xr:uid="{00000000-0005-0000-0000-000060410000}"/>
    <cellStyle name="Note 3 3 2 2 2 3" xfId="23753" xr:uid="{00000000-0005-0000-0000-000061410000}"/>
    <cellStyle name="Note 3 3 2 2 3" xfId="14207" xr:uid="{00000000-0005-0000-0000-000062410000}"/>
    <cellStyle name="Note 3 3 2 2 3 2" xfId="29039" xr:uid="{00000000-0005-0000-0000-000063410000}"/>
    <cellStyle name="Note 3 3 2 2 4" xfId="11022" xr:uid="{00000000-0005-0000-0000-000064410000}"/>
    <cellStyle name="Note 3 3 2 2 4 2" xfId="25854" xr:uid="{00000000-0005-0000-0000-000065410000}"/>
    <cellStyle name="Note 3 3 2 2 5" xfId="21395" xr:uid="{00000000-0005-0000-0000-000066410000}"/>
    <cellStyle name="Note 3 3 2 3" xfId="4978" xr:uid="{00000000-0005-0000-0000-000067410000}"/>
    <cellStyle name="Note 3 3 2 3 2" xfId="9017" xr:uid="{00000000-0005-0000-0000-000068410000}"/>
    <cellStyle name="Note 3 3 2 3 2 2" xfId="17955" xr:uid="{00000000-0005-0000-0000-000069410000}"/>
    <cellStyle name="Note 3 3 2 3 2 2 2" xfId="32787" xr:uid="{00000000-0005-0000-0000-00006A410000}"/>
    <cellStyle name="Note 3 3 2 3 2 3" xfId="24483" xr:uid="{00000000-0005-0000-0000-00006B410000}"/>
    <cellStyle name="Note 3 3 2 3 3" xfId="15300" xr:uid="{00000000-0005-0000-0000-00006C410000}"/>
    <cellStyle name="Note 3 3 2 3 3 2" xfId="30132" xr:uid="{00000000-0005-0000-0000-00006D410000}"/>
    <cellStyle name="Note 3 3 2 3 4" xfId="11556" xr:uid="{00000000-0005-0000-0000-00006E410000}"/>
    <cellStyle name="Note 3 3 2 3 4 2" xfId="26388" xr:uid="{00000000-0005-0000-0000-00006F410000}"/>
    <cellStyle name="Note 3 3 2 3 5" xfId="22009" xr:uid="{00000000-0005-0000-0000-000070410000}"/>
    <cellStyle name="Note 3 3 2 4" xfId="2968" xr:uid="{00000000-0005-0000-0000-000071410000}"/>
    <cellStyle name="Note 3 3 2 4 2" xfId="7048" xr:uid="{00000000-0005-0000-0000-000072410000}"/>
    <cellStyle name="Note 3 3 2 4 2 2" xfId="16847" xr:uid="{00000000-0005-0000-0000-000073410000}"/>
    <cellStyle name="Note 3 3 2 4 2 2 2" xfId="31679" xr:uid="{00000000-0005-0000-0000-000074410000}"/>
    <cellStyle name="Note 3 3 2 4 2 3" xfId="23222" xr:uid="{00000000-0005-0000-0000-000075410000}"/>
    <cellStyle name="Note 3 3 2 4 3" xfId="13306" xr:uid="{00000000-0005-0000-0000-000076410000}"/>
    <cellStyle name="Note 3 3 2 4 3 2" xfId="28138" xr:uid="{00000000-0005-0000-0000-000077410000}"/>
    <cellStyle name="Note 3 3 2 4 4" xfId="10502" xr:uid="{00000000-0005-0000-0000-000078410000}"/>
    <cellStyle name="Note 3 3 2 4 4 2" xfId="25334" xr:uid="{00000000-0005-0000-0000-000079410000}"/>
    <cellStyle name="Note 3 3 2 4 5" xfId="20894" xr:uid="{00000000-0005-0000-0000-00007A410000}"/>
    <cellStyle name="Note 3 3 2 5" xfId="6140" xr:uid="{00000000-0005-0000-0000-00007B410000}"/>
    <cellStyle name="Note 3 3 2 5 2" xfId="16327" xr:uid="{00000000-0005-0000-0000-00007C410000}"/>
    <cellStyle name="Note 3 3 2 5 2 2" xfId="31159" xr:uid="{00000000-0005-0000-0000-00007D410000}"/>
    <cellStyle name="Note 3 3 2 5 3" xfId="22673" xr:uid="{00000000-0005-0000-0000-00007E410000}"/>
    <cellStyle name="Note 3 3 2 6" xfId="12397" xr:uid="{00000000-0005-0000-0000-00007F410000}"/>
    <cellStyle name="Note 3 3 2 6 2" xfId="27229" xr:uid="{00000000-0005-0000-0000-000080410000}"/>
    <cellStyle name="Note 3 3 2 7" xfId="9979" xr:uid="{00000000-0005-0000-0000-000081410000}"/>
    <cellStyle name="Note 3 3 2 7 2" xfId="24811" xr:uid="{00000000-0005-0000-0000-000082410000}"/>
    <cellStyle name="Note 3 3 2 8" xfId="20352" xr:uid="{00000000-0005-0000-0000-000083410000}"/>
    <cellStyle name="Note 3 3 3" xfId="3985" xr:uid="{00000000-0005-0000-0000-000084410000}"/>
    <cellStyle name="Note 3 3 3 2" xfId="8033" xr:uid="{00000000-0005-0000-0000-000085410000}"/>
    <cellStyle name="Note 3 3 3 2 2" xfId="17458" xr:uid="{00000000-0005-0000-0000-000086410000}"/>
    <cellStyle name="Note 3 3 3 2 2 2" xfId="32290" xr:uid="{00000000-0005-0000-0000-000087410000}"/>
    <cellStyle name="Note 3 3 3 2 3" xfId="23822" xr:uid="{00000000-0005-0000-0000-000088410000}"/>
    <cellStyle name="Note 3 3 3 3" xfId="14318" xr:uid="{00000000-0005-0000-0000-000089410000}"/>
    <cellStyle name="Note 3 3 3 3 2" xfId="29150" xr:uid="{00000000-0005-0000-0000-00008A410000}"/>
    <cellStyle name="Note 3 3 3 4" xfId="11075" xr:uid="{00000000-0005-0000-0000-00008B410000}"/>
    <cellStyle name="Note 3 3 3 4 2" xfId="25907" xr:uid="{00000000-0005-0000-0000-00008C410000}"/>
    <cellStyle name="Note 3 3 3 5" xfId="21461" xr:uid="{00000000-0005-0000-0000-00008D410000}"/>
    <cellStyle name="Note 3 3 4" xfId="4558" xr:uid="{00000000-0005-0000-0000-00008E410000}"/>
    <cellStyle name="Note 3 3 4 2" xfId="8597" xr:uid="{00000000-0005-0000-0000-00008F410000}"/>
    <cellStyle name="Note 3 3 4 2 2" xfId="17715" xr:uid="{00000000-0005-0000-0000-000090410000}"/>
    <cellStyle name="Note 3 3 4 2 2 2" xfId="32547" xr:uid="{00000000-0005-0000-0000-000091410000}"/>
    <cellStyle name="Note 3 3 4 2 3" xfId="24223" xr:uid="{00000000-0005-0000-0000-000092410000}"/>
    <cellStyle name="Note 3 3 4 3" xfId="14885" xr:uid="{00000000-0005-0000-0000-000093410000}"/>
    <cellStyle name="Note 3 3 4 3 2" xfId="29717" xr:uid="{00000000-0005-0000-0000-000094410000}"/>
    <cellStyle name="Note 3 3 4 4" xfId="11321" xr:uid="{00000000-0005-0000-0000-000095410000}"/>
    <cellStyle name="Note 3 3 4 4 2" xfId="26153" xr:uid="{00000000-0005-0000-0000-000096410000}"/>
    <cellStyle name="Note 3 3 4 5" xfId="21779" xr:uid="{00000000-0005-0000-0000-000097410000}"/>
    <cellStyle name="Note 3 3 5" xfId="2548" xr:uid="{00000000-0005-0000-0000-000098410000}"/>
    <cellStyle name="Note 3 3 5 2" xfId="6654" xr:uid="{00000000-0005-0000-0000-000099410000}"/>
    <cellStyle name="Note 3 3 5 2 2" xfId="16612" xr:uid="{00000000-0005-0000-0000-00009A410000}"/>
    <cellStyle name="Note 3 3 5 2 2 2" xfId="31444" xr:uid="{00000000-0005-0000-0000-00009B410000}"/>
    <cellStyle name="Note 3 3 5 2 3" xfId="22992" xr:uid="{00000000-0005-0000-0000-00009C410000}"/>
    <cellStyle name="Note 3 3 5 3" xfId="12886" xr:uid="{00000000-0005-0000-0000-00009D410000}"/>
    <cellStyle name="Note 3 3 5 3 2" xfId="27718" xr:uid="{00000000-0005-0000-0000-00009E410000}"/>
    <cellStyle name="Note 3 3 5 4" xfId="10262" xr:uid="{00000000-0005-0000-0000-00009F410000}"/>
    <cellStyle name="Note 3 3 5 4 2" xfId="25094" xr:uid="{00000000-0005-0000-0000-0000A0410000}"/>
    <cellStyle name="Note 3 3 5 5" xfId="20634" xr:uid="{00000000-0005-0000-0000-0000A1410000}"/>
    <cellStyle name="Note 3 3 6" xfId="5671" xr:uid="{00000000-0005-0000-0000-0000A2410000}"/>
    <cellStyle name="Note 3 3 6 2" xfId="15906" xr:uid="{00000000-0005-0000-0000-0000A3410000}"/>
    <cellStyle name="Note 3 3 6 2 2" xfId="30738" xr:uid="{00000000-0005-0000-0000-0000A4410000}"/>
    <cellStyle name="Note 3 3 6 3" xfId="22367" xr:uid="{00000000-0005-0000-0000-0000A5410000}"/>
    <cellStyle name="Note 3 3 7" xfId="11926" xr:uid="{00000000-0005-0000-0000-0000A6410000}"/>
    <cellStyle name="Note 3 3 7 2" xfId="26758" xr:uid="{00000000-0005-0000-0000-0000A7410000}"/>
    <cellStyle name="Note 3 3 8" xfId="9584" xr:uid="{00000000-0005-0000-0000-0000A8410000}"/>
    <cellStyle name="Note 3 3 8 2" xfId="19886" xr:uid="{00000000-0005-0000-0000-0000A9410000}"/>
    <cellStyle name="Note 3 4" xfId="1568" xr:uid="{00000000-0005-0000-0000-0000AA410000}"/>
    <cellStyle name="Note 3 4 2" xfId="2065" xr:uid="{00000000-0005-0000-0000-0000AB410000}"/>
    <cellStyle name="Note 3 4 2 2" xfId="3406" xr:uid="{00000000-0005-0000-0000-0000AC410000}"/>
    <cellStyle name="Note 3 4 2 2 2" xfId="7469" xr:uid="{00000000-0005-0000-0000-0000AD410000}"/>
    <cellStyle name="Note 3 4 2 2 2 2" xfId="17168" xr:uid="{00000000-0005-0000-0000-0000AE410000}"/>
    <cellStyle name="Note 3 4 2 2 2 2 2" xfId="32000" xr:uid="{00000000-0005-0000-0000-0000AF410000}"/>
    <cellStyle name="Note 3 4 2 2 2 3" xfId="23457" xr:uid="{00000000-0005-0000-0000-0000B0410000}"/>
    <cellStyle name="Note 3 4 2 2 3" xfId="13743" xr:uid="{00000000-0005-0000-0000-0000B1410000}"/>
    <cellStyle name="Note 3 4 2 2 3 2" xfId="28575" xr:uid="{00000000-0005-0000-0000-0000B2410000}"/>
    <cellStyle name="Note 3 4 2 2 4" xfId="10787" xr:uid="{00000000-0005-0000-0000-0000B3410000}"/>
    <cellStyle name="Note 3 4 2 2 4 2" xfId="25619" xr:uid="{00000000-0005-0000-0000-0000B4410000}"/>
    <cellStyle name="Note 3 4 2 2 5" xfId="21135" xr:uid="{00000000-0005-0000-0000-0000B5410000}"/>
    <cellStyle name="Note 3 4 2 3" xfId="5033" xr:uid="{00000000-0005-0000-0000-0000B6410000}"/>
    <cellStyle name="Note 3 4 2 3 2" xfId="9072" xr:uid="{00000000-0005-0000-0000-0000B7410000}"/>
    <cellStyle name="Note 3 4 2 3 2 2" xfId="18005" xr:uid="{00000000-0005-0000-0000-0000B8410000}"/>
    <cellStyle name="Note 3 4 2 3 2 2 2" xfId="32837" xr:uid="{00000000-0005-0000-0000-0000B9410000}"/>
    <cellStyle name="Note 3 4 2 3 2 3" xfId="24506" xr:uid="{00000000-0005-0000-0000-0000BA410000}"/>
    <cellStyle name="Note 3 4 2 3 3" xfId="15354" xr:uid="{00000000-0005-0000-0000-0000BB410000}"/>
    <cellStyle name="Note 3 4 2 3 3 2" xfId="30186" xr:uid="{00000000-0005-0000-0000-0000BC410000}"/>
    <cellStyle name="Note 3 4 2 3 4" xfId="11605" xr:uid="{00000000-0005-0000-0000-0000BD410000}"/>
    <cellStyle name="Note 3 4 2 3 4 2" xfId="26437" xr:uid="{00000000-0005-0000-0000-0000BE410000}"/>
    <cellStyle name="Note 3 4 2 3 5" xfId="22026" xr:uid="{00000000-0005-0000-0000-0000BF410000}"/>
    <cellStyle name="Note 3 4 2 4" xfId="3023" xr:uid="{00000000-0005-0000-0000-0000C0410000}"/>
    <cellStyle name="Note 3 4 2 4 2" xfId="7098" xr:uid="{00000000-0005-0000-0000-0000C1410000}"/>
    <cellStyle name="Note 3 4 2 4 2 2" xfId="16896" xr:uid="{00000000-0005-0000-0000-0000C2410000}"/>
    <cellStyle name="Note 3 4 2 4 2 2 2" xfId="31728" xr:uid="{00000000-0005-0000-0000-0000C3410000}"/>
    <cellStyle name="Note 3 4 2 4 2 3" xfId="23239" xr:uid="{00000000-0005-0000-0000-0000C4410000}"/>
    <cellStyle name="Note 3 4 2 4 3" xfId="13361" xr:uid="{00000000-0005-0000-0000-0000C5410000}"/>
    <cellStyle name="Note 3 4 2 4 3 2" xfId="28193" xr:uid="{00000000-0005-0000-0000-0000C6410000}"/>
    <cellStyle name="Note 3 4 2 4 4" xfId="10552" xr:uid="{00000000-0005-0000-0000-0000C7410000}"/>
    <cellStyle name="Note 3 4 2 4 4 2" xfId="25384" xr:uid="{00000000-0005-0000-0000-0000C8410000}"/>
    <cellStyle name="Note 3 4 2 4 5" xfId="20917" xr:uid="{00000000-0005-0000-0000-0000C9410000}"/>
    <cellStyle name="Note 3 4 2 5" xfId="6190" xr:uid="{00000000-0005-0000-0000-0000CA410000}"/>
    <cellStyle name="Note 3 4 2 5 2" xfId="16376" xr:uid="{00000000-0005-0000-0000-0000CB410000}"/>
    <cellStyle name="Note 3 4 2 5 2 2" xfId="31208" xr:uid="{00000000-0005-0000-0000-0000CC410000}"/>
    <cellStyle name="Note 3 4 2 5 3" xfId="22690" xr:uid="{00000000-0005-0000-0000-0000CD410000}"/>
    <cellStyle name="Note 3 4 2 6" xfId="12446" xr:uid="{00000000-0005-0000-0000-0000CE410000}"/>
    <cellStyle name="Note 3 4 2 6 2" xfId="27278" xr:uid="{00000000-0005-0000-0000-0000CF410000}"/>
    <cellStyle name="Note 3 4 2 7" xfId="10028" xr:uid="{00000000-0005-0000-0000-0000D0410000}"/>
    <cellStyle name="Note 3 4 2 7 2" xfId="24860" xr:uid="{00000000-0005-0000-0000-0000D1410000}"/>
    <cellStyle name="Note 3 4 2 8" xfId="20369" xr:uid="{00000000-0005-0000-0000-0000D2410000}"/>
    <cellStyle name="Note 3 4 3" xfId="3290" xr:uid="{00000000-0005-0000-0000-0000D3410000}"/>
    <cellStyle name="Note 3 4 3 2" xfId="7354" xr:uid="{00000000-0005-0000-0000-0000D4410000}"/>
    <cellStyle name="Note 3 4 3 2 2" xfId="17096" xr:uid="{00000000-0005-0000-0000-0000D5410000}"/>
    <cellStyle name="Note 3 4 3 2 2 2" xfId="31928" xr:uid="{00000000-0005-0000-0000-0000D6410000}"/>
    <cellStyle name="Note 3 4 3 2 3" xfId="23380" xr:uid="{00000000-0005-0000-0000-0000D7410000}"/>
    <cellStyle name="Note 3 4 3 3" xfId="13627" xr:uid="{00000000-0005-0000-0000-0000D8410000}"/>
    <cellStyle name="Note 3 4 3 3 2" xfId="28459" xr:uid="{00000000-0005-0000-0000-0000D9410000}"/>
    <cellStyle name="Note 3 4 3 4" xfId="10722" xr:uid="{00000000-0005-0000-0000-0000DA410000}"/>
    <cellStyle name="Note 3 4 3 4 2" xfId="25554" xr:uid="{00000000-0005-0000-0000-0000DB410000}"/>
    <cellStyle name="Note 3 4 3 5" xfId="21067" xr:uid="{00000000-0005-0000-0000-0000DC410000}"/>
    <cellStyle name="Note 3 4 4" xfId="4613" xr:uid="{00000000-0005-0000-0000-0000DD410000}"/>
    <cellStyle name="Note 3 4 4 2" xfId="8652" xr:uid="{00000000-0005-0000-0000-0000DE410000}"/>
    <cellStyle name="Note 3 4 4 2 2" xfId="17765" xr:uid="{00000000-0005-0000-0000-0000DF410000}"/>
    <cellStyle name="Note 3 4 4 2 2 2" xfId="32597" xr:uid="{00000000-0005-0000-0000-0000E0410000}"/>
    <cellStyle name="Note 3 4 4 2 3" xfId="24246" xr:uid="{00000000-0005-0000-0000-0000E1410000}"/>
    <cellStyle name="Note 3 4 4 3" xfId="14939" xr:uid="{00000000-0005-0000-0000-0000E2410000}"/>
    <cellStyle name="Note 3 4 4 3 2" xfId="29771" xr:uid="{00000000-0005-0000-0000-0000E3410000}"/>
    <cellStyle name="Note 3 4 4 4" xfId="11370" xr:uid="{00000000-0005-0000-0000-0000E4410000}"/>
    <cellStyle name="Note 3 4 4 4 2" xfId="26202" xr:uid="{00000000-0005-0000-0000-0000E5410000}"/>
    <cellStyle name="Note 3 4 4 5" xfId="21796" xr:uid="{00000000-0005-0000-0000-0000E6410000}"/>
    <cellStyle name="Note 3 4 5" xfId="2603" xr:uid="{00000000-0005-0000-0000-0000E7410000}"/>
    <cellStyle name="Note 3 4 5 2" xfId="6704" xr:uid="{00000000-0005-0000-0000-0000E8410000}"/>
    <cellStyle name="Note 3 4 5 2 2" xfId="16661" xr:uid="{00000000-0005-0000-0000-0000E9410000}"/>
    <cellStyle name="Note 3 4 5 2 2 2" xfId="31493" xr:uid="{00000000-0005-0000-0000-0000EA410000}"/>
    <cellStyle name="Note 3 4 5 2 3" xfId="23009" xr:uid="{00000000-0005-0000-0000-0000EB410000}"/>
    <cellStyle name="Note 3 4 5 3" xfId="12941" xr:uid="{00000000-0005-0000-0000-0000EC410000}"/>
    <cellStyle name="Note 3 4 5 3 2" xfId="27773" xr:uid="{00000000-0005-0000-0000-0000ED410000}"/>
    <cellStyle name="Note 3 4 5 4" xfId="10312" xr:uid="{00000000-0005-0000-0000-0000EE410000}"/>
    <cellStyle name="Note 3 4 5 4 2" xfId="25144" xr:uid="{00000000-0005-0000-0000-0000EF410000}"/>
    <cellStyle name="Note 3 4 5 5" xfId="20657" xr:uid="{00000000-0005-0000-0000-0000F0410000}"/>
    <cellStyle name="Note 3 4 6" xfId="5720" xr:uid="{00000000-0005-0000-0000-0000F1410000}"/>
    <cellStyle name="Note 3 4 6 2" xfId="15955" xr:uid="{00000000-0005-0000-0000-0000F2410000}"/>
    <cellStyle name="Note 3 4 6 2 2" xfId="30787" xr:uid="{00000000-0005-0000-0000-0000F3410000}"/>
    <cellStyle name="Note 3 4 6 3" xfId="22384" xr:uid="{00000000-0005-0000-0000-0000F4410000}"/>
    <cellStyle name="Note 3 4 7" xfId="11975" xr:uid="{00000000-0005-0000-0000-0000F5410000}"/>
    <cellStyle name="Note 3 4 7 2" xfId="26807" xr:uid="{00000000-0005-0000-0000-0000F6410000}"/>
    <cellStyle name="Note 3 4 8" xfId="9634" xr:uid="{00000000-0005-0000-0000-0000F7410000}"/>
    <cellStyle name="Note 3 4 8 2" xfId="19935" xr:uid="{00000000-0005-0000-0000-0000F8410000}"/>
    <cellStyle name="Note 3 5" xfId="1618" xr:uid="{00000000-0005-0000-0000-0000F9410000}"/>
    <cellStyle name="Note 3 5 2" xfId="2115" xr:uid="{00000000-0005-0000-0000-0000FA410000}"/>
    <cellStyle name="Note 3 5 2 2" xfId="3475" xr:uid="{00000000-0005-0000-0000-0000FB410000}"/>
    <cellStyle name="Note 3 5 2 2 2" xfId="7537" xr:uid="{00000000-0005-0000-0000-0000FC410000}"/>
    <cellStyle name="Note 3 5 2 2 2 2" xfId="17206" xr:uid="{00000000-0005-0000-0000-0000FD410000}"/>
    <cellStyle name="Note 3 5 2 2 2 2 2" xfId="32038" xr:uid="{00000000-0005-0000-0000-0000FE410000}"/>
    <cellStyle name="Note 3 5 2 2 2 3" xfId="23503" xr:uid="{00000000-0005-0000-0000-0000FF410000}"/>
    <cellStyle name="Note 3 5 2 2 3" xfId="13812" xr:uid="{00000000-0005-0000-0000-000000420000}"/>
    <cellStyle name="Note 3 5 2 2 3 2" xfId="28644" xr:uid="{00000000-0005-0000-0000-000001420000}"/>
    <cellStyle name="Note 3 5 2 2 4" xfId="10824" xr:uid="{00000000-0005-0000-0000-000002420000}"/>
    <cellStyle name="Note 3 5 2 2 4 2" xfId="25656" xr:uid="{00000000-0005-0000-0000-000003420000}"/>
    <cellStyle name="Note 3 5 2 2 5" xfId="21179" xr:uid="{00000000-0005-0000-0000-000004420000}"/>
    <cellStyle name="Note 3 5 2 3" xfId="5083" xr:uid="{00000000-0005-0000-0000-000005420000}"/>
    <cellStyle name="Note 3 5 2 3 2" xfId="9122" xr:uid="{00000000-0005-0000-0000-000006420000}"/>
    <cellStyle name="Note 3 5 2 3 2 2" xfId="18050" xr:uid="{00000000-0005-0000-0000-000007420000}"/>
    <cellStyle name="Note 3 5 2 3 2 2 2" xfId="32882" xr:uid="{00000000-0005-0000-0000-000008420000}"/>
    <cellStyle name="Note 3 5 2 3 2 3" xfId="24524" xr:uid="{00000000-0005-0000-0000-000009420000}"/>
    <cellStyle name="Note 3 5 2 3 3" xfId="15403" xr:uid="{00000000-0005-0000-0000-00000A420000}"/>
    <cellStyle name="Note 3 5 2 3 3 2" xfId="30235" xr:uid="{00000000-0005-0000-0000-00000B420000}"/>
    <cellStyle name="Note 3 5 2 3 4" xfId="11649" xr:uid="{00000000-0005-0000-0000-00000C420000}"/>
    <cellStyle name="Note 3 5 2 3 4 2" xfId="26481" xr:uid="{00000000-0005-0000-0000-00000D420000}"/>
    <cellStyle name="Note 3 5 2 3 5" xfId="22038" xr:uid="{00000000-0005-0000-0000-00000E420000}"/>
    <cellStyle name="Note 3 5 2 4" xfId="3073" xr:uid="{00000000-0005-0000-0000-00000F420000}"/>
    <cellStyle name="Note 3 5 2 4 2" xfId="7143" xr:uid="{00000000-0005-0000-0000-000010420000}"/>
    <cellStyle name="Note 3 5 2 4 2 2" xfId="16940" xr:uid="{00000000-0005-0000-0000-000011420000}"/>
    <cellStyle name="Note 3 5 2 4 2 2 2" xfId="31772" xr:uid="{00000000-0005-0000-0000-000012420000}"/>
    <cellStyle name="Note 3 5 2 4 2 3" xfId="23251" xr:uid="{00000000-0005-0000-0000-000013420000}"/>
    <cellStyle name="Note 3 5 2 4 3" xfId="13411" xr:uid="{00000000-0005-0000-0000-000014420000}"/>
    <cellStyle name="Note 3 5 2 4 3 2" xfId="28243" xr:uid="{00000000-0005-0000-0000-000015420000}"/>
    <cellStyle name="Note 3 5 2 4 4" xfId="10597" xr:uid="{00000000-0005-0000-0000-000016420000}"/>
    <cellStyle name="Note 3 5 2 4 4 2" xfId="25429" xr:uid="{00000000-0005-0000-0000-000017420000}"/>
    <cellStyle name="Note 3 5 2 4 5" xfId="20935" xr:uid="{00000000-0005-0000-0000-000018420000}"/>
    <cellStyle name="Note 3 5 2 5" xfId="6235" xr:uid="{00000000-0005-0000-0000-000019420000}"/>
    <cellStyle name="Note 3 5 2 5 2" xfId="16420" xr:uid="{00000000-0005-0000-0000-00001A420000}"/>
    <cellStyle name="Note 3 5 2 5 2 2" xfId="31252" xr:uid="{00000000-0005-0000-0000-00001B420000}"/>
    <cellStyle name="Note 3 5 2 5 3" xfId="22702" xr:uid="{00000000-0005-0000-0000-00001C420000}"/>
    <cellStyle name="Note 3 5 2 6" xfId="12490" xr:uid="{00000000-0005-0000-0000-00001D420000}"/>
    <cellStyle name="Note 3 5 2 6 2" xfId="27322" xr:uid="{00000000-0005-0000-0000-00001E420000}"/>
    <cellStyle name="Note 3 5 2 7" xfId="10072" xr:uid="{00000000-0005-0000-0000-00001F420000}"/>
    <cellStyle name="Note 3 5 2 7 2" xfId="24904" xr:uid="{00000000-0005-0000-0000-000020420000}"/>
    <cellStyle name="Note 3 5 2 8" xfId="20381" xr:uid="{00000000-0005-0000-0000-000021420000}"/>
    <cellStyle name="Note 3 5 3" xfId="4063" xr:uid="{00000000-0005-0000-0000-000022420000}"/>
    <cellStyle name="Note 3 5 3 2" xfId="8110" xr:uid="{00000000-0005-0000-0000-000023420000}"/>
    <cellStyle name="Note 3 5 3 2 2" xfId="17500" xr:uid="{00000000-0005-0000-0000-000024420000}"/>
    <cellStyle name="Note 3 5 3 2 2 2" xfId="32332" xr:uid="{00000000-0005-0000-0000-000025420000}"/>
    <cellStyle name="Note 3 5 3 2 3" xfId="23868" xr:uid="{00000000-0005-0000-0000-000026420000}"/>
    <cellStyle name="Note 3 5 3 3" xfId="14395" xr:uid="{00000000-0005-0000-0000-000027420000}"/>
    <cellStyle name="Note 3 5 3 3 2" xfId="29227" xr:uid="{00000000-0005-0000-0000-000028420000}"/>
    <cellStyle name="Note 3 5 3 4" xfId="11116" xr:uid="{00000000-0005-0000-0000-000029420000}"/>
    <cellStyle name="Note 3 5 3 4 2" xfId="25948" xr:uid="{00000000-0005-0000-0000-00002A420000}"/>
    <cellStyle name="Note 3 5 3 5" xfId="21502" xr:uid="{00000000-0005-0000-0000-00002B420000}"/>
    <cellStyle name="Note 3 5 4" xfId="4663" xr:uid="{00000000-0005-0000-0000-00002C420000}"/>
    <cellStyle name="Note 3 5 4 2" xfId="8702" xr:uid="{00000000-0005-0000-0000-00002D420000}"/>
    <cellStyle name="Note 3 5 4 2 2" xfId="17810" xr:uid="{00000000-0005-0000-0000-00002E420000}"/>
    <cellStyle name="Note 3 5 4 2 2 2" xfId="32642" xr:uid="{00000000-0005-0000-0000-00002F420000}"/>
    <cellStyle name="Note 3 5 4 2 3" xfId="24264" xr:uid="{00000000-0005-0000-0000-000030420000}"/>
    <cellStyle name="Note 3 5 4 3" xfId="14988" xr:uid="{00000000-0005-0000-0000-000031420000}"/>
    <cellStyle name="Note 3 5 4 3 2" xfId="29820" xr:uid="{00000000-0005-0000-0000-000032420000}"/>
    <cellStyle name="Note 3 5 4 4" xfId="11414" xr:uid="{00000000-0005-0000-0000-000033420000}"/>
    <cellStyle name="Note 3 5 4 4 2" xfId="26246" xr:uid="{00000000-0005-0000-0000-000034420000}"/>
    <cellStyle name="Note 3 5 4 5" xfId="21808" xr:uid="{00000000-0005-0000-0000-000035420000}"/>
    <cellStyle name="Note 3 5 5" xfId="2653" xr:uid="{00000000-0005-0000-0000-000036420000}"/>
    <cellStyle name="Note 3 5 5 2" xfId="6749" xr:uid="{00000000-0005-0000-0000-000037420000}"/>
    <cellStyle name="Note 3 5 5 2 2" xfId="16705" xr:uid="{00000000-0005-0000-0000-000038420000}"/>
    <cellStyle name="Note 3 5 5 2 2 2" xfId="31537" xr:uid="{00000000-0005-0000-0000-000039420000}"/>
    <cellStyle name="Note 3 5 5 2 3" xfId="23021" xr:uid="{00000000-0005-0000-0000-00003A420000}"/>
    <cellStyle name="Note 3 5 5 3" xfId="12991" xr:uid="{00000000-0005-0000-0000-00003B420000}"/>
    <cellStyle name="Note 3 5 5 3 2" xfId="27823" xr:uid="{00000000-0005-0000-0000-00003C420000}"/>
    <cellStyle name="Note 3 5 5 4" xfId="10357" xr:uid="{00000000-0005-0000-0000-00003D420000}"/>
    <cellStyle name="Note 3 5 5 4 2" xfId="25189" xr:uid="{00000000-0005-0000-0000-00003E420000}"/>
    <cellStyle name="Note 3 5 5 5" xfId="20675" xr:uid="{00000000-0005-0000-0000-00003F420000}"/>
    <cellStyle name="Note 3 5 6" xfId="5765" xr:uid="{00000000-0005-0000-0000-000040420000}"/>
    <cellStyle name="Note 3 5 6 2" xfId="15999" xr:uid="{00000000-0005-0000-0000-000041420000}"/>
    <cellStyle name="Note 3 5 6 2 2" xfId="30831" xr:uid="{00000000-0005-0000-0000-000042420000}"/>
    <cellStyle name="Note 3 5 6 3" xfId="22396" xr:uid="{00000000-0005-0000-0000-000043420000}"/>
    <cellStyle name="Note 3 5 7" xfId="12019" xr:uid="{00000000-0005-0000-0000-000044420000}"/>
    <cellStyle name="Note 3 5 7 2" xfId="26851" xr:uid="{00000000-0005-0000-0000-000045420000}"/>
    <cellStyle name="Note 3 5 8" xfId="9679" xr:uid="{00000000-0005-0000-0000-000046420000}"/>
    <cellStyle name="Note 3 5 8 2" xfId="19979" xr:uid="{00000000-0005-0000-0000-000047420000}"/>
    <cellStyle name="Note 3 6" xfId="1769" xr:uid="{00000000-0005-0000-0000-000048420000}"/>
    <cellStyle name="Note 3 6 2" xfId="4087" xr:uid="{00000000-0005-0000-0000-000049420000}"/>
    <cellStyle name="Note 3 6 2 2" xfId="8133" xr:uid="{00000000-0005-0000-0000-00004A420000}"/>
    <cellStyle name="Note 3 6 2 2 2" xfId="17512" xr:uid="{00000000-0005-0000-0000-00004B420000}"/>
    <cellStyle name="Note 3 6 2 2 2 2" xfId="32344" xr:uid="{00000000-0005-0000-0000-00004C420000}"/>
    <cellStyle name="Note 3 6 2 2 3" xfId="23881" xr:uid="{00000000-0005-0000-0000-00004D420000}"/>
    <cellStyle name="Note 3 6 2 3" xfId="14419" xr:uid="{00000000-0005-0000-0000-00004E420000}"/>
    <cellStyle name="Note 3 6 2 3 2" xfId="29251" xr:uid="{00000000-0005-0000-0000-00004F420000}"/>
    <cellStyle name="Note 3 6 2 4" xfId="11129" xr:uid="{00000000-0005-0000-0000-000050420000}"/>
    <cellStyle name="Note 3 6 2 4 2" xfId="25961" xr:uid="{00000000-0005-0000-0000-000051420000}"/>
    <cellStyle name="Note 3 6 2 5" xfId="21511" xr:uid="{00000000-0005-0000-0000-000052420000}"/>
    <cellStyle name="Note 3 6 3" xfId="4747" xr:uid="{00000000-0005-0000-0000-000053420000}"/>
    <cellStyle name="Note 3 6 3 2" xfId="8786" xr:uid="{00000000-0005-0000-0000-000054420000}"/>
    <cellStyle name="Note 3 6 3 2 2" xfId="17858" xr:uid="{00000000-0005-0000-0000-000055420000}"/>
    <cellStyle name="Note 3 6 3 2 2 2" xfId="32690" xr:uid="{00000000-0005-0000-0000-000056420000}"/>
    <cellStyle name="Note 3 6 3 2 3" xfId="24316" xr:uid="{00000000-0005-0000-0000-000057420000}"/>
    <cellStyle name="Note 3 6 3 3" xfId="15071" xr:uid="{00000000-0005-0000-0000-000058420000}"/>
    <cellStyle name="Note 3 6 3 3 2" xfId="29903" xr:uid="{00000000-0005-0000-0000-000059420000}"/>
    <cellStyle name="Note 3 6 3 4" xfId="11461" xr:uid="{00000000-0005-0000-0000-00005A420000}"/>
    <cellStyle name="Note 3 6 3 4 2" xfId="26293" xr:uid="{00000000-0005-0000-0000-00005B420000}"/>
    <cellStyle name="Note 3 6 3 5" xfId="21854" xr:uid="{00000000-0005-0000-0000-00005C420000}"/>
    <cellStyle name="Note 3 6 4" xfId="2737" xr:uid="{00000000-0005-0000-0000-00005D420000}"/>
    <cellStyle name="Note 3 6 4 2" xfId="6828" xr:uid="{00000000-0005-0000-0000-00005E420000}"/>
    <cellStyle name="Note 3 6 4 2 2" xfId="16752" xr:uid="{00000000-0005-0000-0000-00005F420000}"/>
    <cellStyle name="Note 3 6 4 2 2 2" xfId="31584" xr:uid="{00000000-0005-0000-0000-000060420000}"/>
    <cellStyle name="Note 3 6 4 2 3" xfId="23067" xr:uid="{00000000-0005-0000-0000-000061420000}"/>
    <cellStyle name="Note 3 6 4 3" xfId="13075" xr:uid="{00000000-0005-0000-0000-000062420000}"/>
    <cellStyle name="Note 3 6 4 3 2" xfId="27907" xr:uid="{00000000-0005-0000-0000-000063420000}"/>
    <cellStyle name="Note 3 6 4 4" xfId="10405" xr:uid="{00000000-0005-0000-0000-000064420000}"/>
    <cellStyle name="Note 3 6 4 4 2" xfId="25237" xr:uid="{00000000-0005-0000-0000-000065420000}"/>
    <cellStyle name="Note 3 6 4 5" xfId="20727" xr:uid="{00000000-0005-0000-0000-000066420000}"/>
    <cellStyle name="Note 3 6 5" xfId="5901" xr:uid="{00000000-0005-0000-0000-000067420000}"/>
    <cellStyle name="Note 3 6 5 2" xfId="16093" xr:uid="{00000000-0005-0000-0000-000068420000}"/>
    <cellStyle name="Note 3 6 5 2 2" xfId="30925" xr:uid="{00000000-0005-0000-0000-000069420000}"/>
    <cellStyle name="Note 3 6 5 3" xfId="22498" xr:uid="{00000000-0005-0000-0000-00006A420000}"/>
    <cellStyle name="Note 3 6 6" xfId="12163" xr:uid="{00000000-0005-0000-0000-00006B420000}"/>
    <cellStyle name="Note 3 6 6 2" xfId="26995" xr:uid="{00000000-0005-0000-0000-00006C420000}"/>
    <cellStyle name="Note 3 6 7" xfId="9759" xr:uid="{00000000-0005-0000-0000-00006D420000}"/>
    <cellStyle name="Note 3 6 7 2" xfId="24716" xr:uid="{00000000-0005-0000-0000-00006E420000}"/>
    <cellStyle name="Note 3 6 8" xfId="20306" xr:uid="{00000000-0005-0000-0000-00006F420000}"/>
    <cellStyle name="Note 3 7" xfId="2197" xr:uid="{00000000-0005-0000-0000-000070420000}"/>
    <cellStyle name="Note 3 7 2" xfId="3769" xr:uid="{00000000-0005-0000-0000-000071420000}"/>
    <cellStyle name="Note 3 7 2 2" xfId="7825" xr:uid="{00000000-0005-0000-0000-000072420000}"/>
    <cellStyle name="Note 3 7 2 2 2" xfId="17359" xr:uid="{00000000-0005-0000-0000-000073420000}"/>
    <cellStyle name="Note 3 7 2 2 2 2" xfId="32191" xr:uid="{00000000-0005-0000-0000-000074420000}"/>
    <cellStyle name="Note 3 7 2 2 3" xfId="23683" xr:uid="{00000000-0005-0000-0000-000075420000}"/>
    <cellStyle name="Note 3 7 2 3" xfId="14104" xr:uid="{00000000-0005-0000-0000-000076420000}"/>
    <cellStyle name="Note 3 7 2 3 2" xfId="28936" xr:uid="{00000000-0005-0000-0000-000077420000}"/>
    <cellStyle name="Note 3 7 2 4" xfId="10975" xr:uid="{00000000-0005-0000-0000-000078420000}"/>
    <cellStyle name="Note 3 7 2 4 2" xfId="25807" xr:uid="{00000000-0005-0000-0000-000079420000}"/>
    <cellStyle name="Note 3 7 2 5" xfId="21339" xr:uid="{00000000-0005-0000-0000-00007A420000}"/>
    <cellStyle name="Note 3 7 3" xfId="5165" xr:uid="{00000000-0005-0000-0000-00007B420000}"/>
    <cellStyle name="Note 3 7 3 2" xfId="9204" xr:uid="{00000000-0005-0000-0000-00007C420000}"/>
    <cellStyle name="Note 3 7 3 2 2" xfId="18127" xr:uid="{00000000-0005-0000-0000-00007D420000}"/>
    <cellStyle name="Note 3 7 3 2 2 2" xfId="32959" xr:uid="{00000000-0005-0000-0000-00007E420000}"/>
    <cellStyle name="Note 3 7 3 2 3" xfId="24542" xr:uid="{00000000-0005-0000-0000-00007F420000}"/>
    <cellStyle name="Note 3 7 3 3" xfId="15483" xr:uid="{00000000-0005-0000-0000-000080420000}"/>
    <cellStyle name="Note 3 7 3 3 2" xfId="30315" xr:uid="{00000000-0005-0000-0000-000081420000}"/>
    <cellStyle name="Note 3 7 3 4" xfId="11724" xr:uid="{00000000-0005-0000-0000-000082420000}"/>
    <cellStyle name="Note 3 7 3 4 2" xfId="26556" xr:uid="{00000000-0005-0000-0000-000083420000}"/>
    <cellStyle name="Note 3 7 3 5" xfId="22049" xr:uid="{00000000-0005-0000-0000-000084420000}"/>
    <cellStyle name="Note 3 7 4" xfId="4195" xr:uid="{00000000-0005-0000-0000-000085420000}"/>
    <cellStyle name="Note 3 7 4 2" xfId="8236" xr:uid="{00000000-0005-0000-0000-000086420000}"/>
    <cellStyle name="Note 3 7 4 2 2" xfId="17583" xr:uid="{00000000-0005-0000-0000-000087420000}"/>
    <cellStyle name="Note 3 7 4 2 2 2" xfId="32415" xr:uid="{00000000-0005-0000-0000-000088420000}"/>
    <cellStyle name="Note 3 7 4 2 3" xfId="23931" xr:uid="{00000000-0005-0000-0000-000089420000}"/>
    <cellStyle name="Note 3 7 4 3" xfId="14527" xr:uid="{00000000-0005-0000-0000-00008A420000}"/>
    <cellStyle name="Note 3 7 4 3 2" xfId="29359" xr:uid="{00000000-0005-0000-0000-00008B420000}"/>
    <cellStyle name="Note 3 7 4 4" xfId="11203" xr:uid="{00000000-0005-0000-0000-00008C420000}"/>
    <cellStyle name="Note 3 7 4 4 2" xfId="26035" xr:uid="{00000000-0005-0000-0000-00008D420000}"/>
    <cellStyle name="Note 3 7 4 5" xfId="21556" xr:uid="{00000000-0005-0000-0000-00008E420000}"/>
    <cellStyle name="Note 3 7 5" xfId="6311" xr:uid="{00000000-0005-0000-0000-00008F420000}"/>
    <cellStyle name="Note 3 7 5 2" xfId="16495" xr:uid="{00000000-0005-0000-0000-000090420000}"/>
    <cellStyle name="Note 3 7 5 2 2" xfId="31327" xr:uid="{00000000-0005-0000-0000-000091420000}"/>
    <cellStyle name="Note 3 7 5 3" xfId="22713" xr:uid="{00000000-0005-0000-0000-000092420000}"/>
    <cellStyle name="Note 3 7 6" xfId="12565" xr:uid="{00000000-0005-0000-0000-000093420000}"/>
    <cellStyle name="Note 3 7 6 2" xfId="27397" xr:uid="{00000000-0005-0000-0000-000094420000}"/>
    <cellStyle name="Note 3 7 7" xfId="10147" xr:uid="{00000000-0005-0000-0000-000095420000}"/>
    <cellStyle name="Note 3 7 7 2" xfId="24979" xr:uid="{00000000-0005-0000-0000-000096420000}"/>
    <cellStyle name="Note 3 7 8" xfId="20392" xr:uid="{00000000-0005-0000-0000-000097420000}"/>
    <cellStyle name="Note 3 8" xfId="3219" xr:uid="{00000000-0005-0000-0000-000098420000}"/>
    <cellStyle name="Note 3 8 2" xfId="7283" xr:uid="{00000000-0005-0000-0000-000099420000}"/>
    <cellStyle name="Note 3 8 2 2" xfId="17045" xr:uid="{00000000-0005-0000-0000-00009A420000}"/>
    <cellStyle name="Note 3 8 2 2 2" xfId="31877" xr:uid="{00000000-0005-0000-0000-00009B420000}"/>
    <cellStyle name="Note 3 8 2 3" xfId="23328" xr:uid="{00000000-0005-0000-0000-00009C420000}"/>
    <cellStyle name="Note 3 8 3" xfId="13557" xr:uid="{00000000-0005-0000-0000-00009D420000}"/>
    <cellStyle name="Note 3 8 3 2" xfId="28389" xr:uid="{00000000-0005-0000-0000-00009E420000}"/>
    <cellStyle name="Note 3 8 4" xfId="10686" xr:uid="{00000000-0005-0000-0000-00009F420000}"/>
    <cellStyle name="Note 3 8 4 2" xfId="25518" xr:uid="{00000000-0005-0000-0000-0000A0420000}"/>
    <cellStyle name="Note 3 8 5" xfId="21017" xr:uid="{00000000-0005-0000-0000-0000A1420000}"/>
    <cellStyle name="Note 3 9" xfId="3352" xr:uid="{00000000-0005-0000-0000-0000A2420000}"/>
    <cellStyle name="Note 3 9 2" xfId="7415" xr:uid="{00000000-0005-0000-0000-0000A3420000}"/>
    <cellStyle name="Note 3 9 2 2" xfId="17139" xr:uid="{00000000-0005-0000-0000-0000A4420000}"/>
    <cellStyle name="Note 3 9 2 2 2" xfId="31971" xr:uid="{00000000-0005-0000-0000-0000A5420000}"/>
    <cellStyle name="Note 3 9 2 3" xfId="23417" xr:uid="{00000000-0005-0000-0000-0000A6420000}"/>
    <cellStyle name="Note 3 9 3" xfId="13689" xr:uid="{00000000-0005-0000-0000-0000A7420000}"/>
    <cellStyle name="Note 3 9 3 2" xfId="28521" xr:uid="{00000000-0005-0000-0000-0000A8420000}"/>
    <cellStyle name="Note 3 9 4" xfId="10758" xr:uid="{00000000-0005-0000-0000-0000A9420000}"/>
    <cellStyle name="Note 3 9 4 2" xfId="25590" xr:uid="{00000000-0005-0000-0000-0000AA420000}"/>
    <cellStyle name="Note 3 9 5" xfId="21103" xr:uid="{00000000-0005-0000-0000-0000AB420000}"/>
    <cellStyle name="Note 4" xfId="1225" xr:uid="{00000000-0005-0000-0000-0000AC420000}"/>
    <cellStyle name="Note 4 10" xfId="2311" xr:uid="{00000000-0005-0000-0000-0000AD420000}"/>
    <cellStyle name="Note 4 10 2" xfId="6423" xr:uid="{00000000-0005-0000-0000-0000AE420000}"/>
    <cellStyle name="Note 4 10 2 2" xfId="16516" xr:uid="{00000000-0005-0000-0000-0000AF420000}"/>
    <cellStyle name="Note 4 10 2 2 2" xfId="31348" xr:uid="{00000000-0005-0000-0000-0000B0420000}"/>
    <cellStyle name="Note 4 10 2 3" xfId="22825" xr:uid="{00000000-0005-0000-0000-0000B1420000}"/>
    <cellStyle name="Note 4 10 3" xfId="12651" xr:uid="{00000000-0005-0000-0000-0000B2420000}"/>
    <cellStyle name="Note 4 10 3 2" xfId="27483" xr:uid="{00000000-0005-0000-0000-0000B3420000}"/>
    <cellStyle name="Note 4 10 4" xfId="10167" xr:uid="{00000000-0005-0000-0000-0000B4420000}"/>
    <cellStyle name="Note 4 10 4 2" xfId="24999" xr:uid="{00000000-0005-0000-0000-0000B5420000}"/>
    <cellStyle name="Note 4 10 5" xfId="20474" xr:uid="{00000000-0005-0000-0000-0000B6420000}"/>
    <cellStyle name="Note 4 11" xfId="5274" xr:uid="{00000000-0005-0000-0000-0000B7420000}"/>
    <cellStyle name="Note 4 11 2" xfId="9282" xr:uid="{00000000-0005-0000-0000-0000B8420000}"/>
    <cellStyle name="Note 4 11 2 2" xfId="18149" xr:uid="{00000000-0005-0000-0000-0000B9420000}"/>
    <cellStyle name="Note 4 11 2 2 2" xfId="32981" xr:uid="{00000000-0005-0000-0000-0000BA420000}"/>
    <cellStyle name="Note 4 11 2 3" xfId="24620" xr:uid="{00000000-0005-0000-0000-0000BB420000}"/>
    <cellStyle name="Note 4 11 3" xfId="15590" xr:uid="{00000000-0005-0000-0000-0000BC420000}"/>
    <cellStyle name="Note 4 11 3 2" xfId="30422" xr:uid="{00000000-0005-0000-0000-0000BD420000}"/>
    <cellStyle name="Note 4 11 4" xfId="22131" xr:uid="{00000000-0005-0000-0000-0000BE420000}"/>
    <cellStyle name="Note 4 12" xfId="5432" xr:uid="{00000000-0005-0000-0000-0000BF420000}"/>
    <cellStyle name="Note 4 12 2" xfId="15668" xr:uid="{00000000-0005-0000-0000-0000C0420000}"/>
    <cellStyle name="Note 4 12 2 2" xfId="30500" xr:uid="{00000000-0005-0000-0000-0000C1420000}"/>
    <cellStyle name="Note 4 12 3" xfId="22193" xr:uid="{00000000-0005-0000-0000-0000C2420000}"/>
    <cellStyle name="Note 4 13" xfId="9359" xr:uid="{00000000-0005-0000-0000-0000C3420000}"/>
    <cellStyle name="Note 4 13 2" xfId="24665" xr:uid="{00000000-0005-0000-0000-0000C4420000}"/>
    <cellStyle name="Note 4 14" xfId="5348" xr:uid="{00000000-0005-0000-0000-0000C5420000}"/>
    <cellStyle name="Note 4 14 2" xfId="18222" xr:uid="{00000000-0005-0000-0000-0000C6420000}"/>
    <cellStyle name="Note 4 2" xfId="1344" xr:uid="{00000000-0005-0000-0000-0000C7420000}"/>
    <cellStyle name="Note 4 2 2" xfId="1848" xr:uid="{00000000-0005-0000-0000-0000C8420000}"/>
    <cellStyle name="Note 4 2 2 2" xfId="4055" xr:uid="{00000000-0005-0000-0000-0000C9420000}"/>
    <cellStyle name="Note 4 2 2 2 2" xfId="8102" xr:uid="{00000000-0005-0000-0000-0000CA420000}"/>
    <cellStyle name="Note 4 2 2 2 2 2" xfId="17495" xr:uid="{00000000-0005-0000-0000-0000CB420000}"/>
    <cellStyle name="Note 4 2 2 2 2 2 2" xfId="32327" xr:uid="{00000000-0005-0000-0000-0000CC420000}"/>
    <cellStyle name="Note 4 2 2 2 2 3" xfId="23864" xr:uid="{00000000-0005-0000-0000-0000CD420000}"/>
    <cellStyle name="Note 4 2 2 2 3" xfId="14387" xr:uid="{00000000-0005-0000-0000-0000CE420000}"/>
    <cellStyle name="Note 4 2 2 2 3 2" xfId="29219" xr:uid="{00000000-0005-0000-0000-0000CF420000}"/>
    <cellStyle name="Note 4 2 2 2 4" xfId="11111" xr:uid="{00000000-0005-0000-0000-0000D0420000}"/>
    <cellStyle name="Note 4 2 2 2 4 2" xfId="25943" xr:uid="{00000000-0005-0000-0000-0000D1420000}"/>
    <cellStyle name="Note 4 2 2 2 5" xfId="21498" xr:uid="{00000000-0005-0000-0000-0000D2420000}"/>
    <cellStyle name="Note 4 2 2 3" xfId="4826" xr:uid="{00000000-0005-0000-0000-0000D3420000}"/>
    <cellStyle name="Note 4 2 2 3 2" xfId="8865" xr:uid="{00000000-0005-0000-0000-0000D4420000}"/>
    <cellStyle name="Note 4 2 2 3 2 2" xfId="17906" xr:uid="{00000000-0005-0000-0000-0000D5420000}"/>
    <cellStyle name="Note 4 2 2 3 2 2 2" xfId="32738" xr:uid="{00000000-0005-0000-0000-0000D6420000}"/>
    <cellStyle name="Note 4 2 2 3 2 3" xfId="24363" xr:uid="{00000000-0005-0000-0000-0000D7420000}"/>
    <cellStyle name="Note 4 2 2 3 3" xfId="15150" xr:uid="{00000000-0005-0000-0000-0000D8420000}"/>
    <cellStyle name="Note 4 2 2 3 3 2" xfId="29982" xr:uid="{00000000-0005-0000-0000-0000D9420000}"/>
    <cellStyle name="Note 4 2 2 3 4" xfId="11509" xr:uid="{00000000-0005-0000-0000-0000DA420000}"/>
    <cellStyle name="Note 4 2 2 3 4 2" xfId="26341" xr:uid="{00000000-0005-0000-0000-0000DB420000}"/>
    <cellStyle name="Note 4 2 2 3 5" xfId="21901" xr:uid="{00000000-0005-0000-0000-0000DC420000}"/>
    <cellStyle name="Note 4 2 2 4" xfId="2816" xr:uid="{00000000-0005-0000-0000-0000DD420000}"/>
    <cellStyle name="Note 4 2 2 4 2" xfId="6907" xr:uid="{00000000-0005-0000-0000-0000DE420000}"/>
    <cellStyle name="Note 4 2 2 4 2 2" xfId="16800" xr:uid="{00000000-0005-0000-0000-0000DF420000}"/>
    <cellStyle name="Note 4 2 2 4 2 2 2" xfId="31632" xr:uid="{00000000-0005-0000-0000-0000E0420000}"/>
    <cellStyle name="Note 4 2 2 4 2 3" xfId="23114" xr:uid="{00000000-0005-0000-0000-0000E1420000}"/>
    <cellStyle name="Note 4 2 2 4 3" xfId="13154" xr:uid="{00000000-0005-0000-0000-0000E2420000}"/>
    <cellStyle name="Note 4 2 2 4 3 2" xfId="27986" xr:uid="{00000000-0005-0000-0000-0000E3420000}"/>
    <cellStyle name="Note 4 2 2 4 4" xfId="10453" xr:uid="{00000000-0005-0000-0000-0000E4420000}"/>
    <cellStyle name="Note 4 2 2 4 4 2" xfId="25285" xr:uid="{00000000-0005-0000-0000-0000E5420000}"/>
    <cellStyle name="Note 4 2 2 4 5" xfId="20774" xr:uid="{00000000-0005-0000-0000-0000E6420000}"/>
    <cellStyle name="Note 4 2 2 5" xfId="5980" xr:uid="{00000000-0005-0000-0000-0000E7420000}"/>
    <cellStyle name="Note 4 2 2 5 2" xfId="16172" xr:uid="{00000000-0005-0000-0000-0000E8420000}"/>
    <cellStyle name="Note 4 2 2 5 2 2" xfId="31004" xr:uid="{00000000-0005-0000-0000-0000E9420000}"/>
    <cellStyle name="Note 4 2 2 5 3" xfId="22545" xr:uid="{00000000-0005-0000-0000-0000EA420000}"/>
    <cellStyle name="Note 4 2 2 6" xfId="12242" xr:uid="{00000000-0005-0000-0000-0000EB420000}"/>
    <cellStyle name="Note 4 2 2 6 2" xfId="27074" xr:uid="{00000000-0005-0000-0000-0000EC420000}"/>
    <cellStyle name="Note 4 2 2 7" xfId="9838" xr:uid="{00000000-0005-0000-0000-0000ED420000}"/>
    <cellStyle name="Note 4 2 2 7 2" xfId="24764" xr:uid="{00000000-0005-0000-0000-0000EE420000}"/>
    <cellStyle name="Note 4 2 2 8" xfId="20322" xr:uid="{00000000-0005-0000-0000-0000EF420000}"/>
    <cellStyle name="Note 4 2 3" xfId="3787" xr:uid="{00000000-0005-0000-0000-0000F0420000}"/>
    <cellStyle name="Note 4 2 3 2" xfId="7842" xr:uid="{00000000-0005-0000-0000-0000F1420000}"/>
    <cellStyle name="Note 4 2 3 2 2" xfId="17364" xr:uid="{00000000-0005-0000-0000-0000F2420000}"/>
    <cellStyle name="Note 4 2 3 2 2 2" xfId="32196" xr:uid="{00000000-0005-0000-0000-0000F3420000}"/>
    <cellStyle name="Note 4 2 3 2 3" xfId="23698" xr:uid="{00000000-0005-0000-0000-0000F4420000}"/>
    <cellStyle name="Note 4 2 3 3" xfId="14122" xr:uid="{00000000-0005-0000-0000-0000F5420000}"/>
    <cellStyle name="Note 4 2 3 3 2" xfId="28954" xr:uid="{00000000-0005-0000-0000-0000F6420000}"/>
    <cellStyle name="Note 4 2 3 4" xfId="10981" xr:uid="{00000000-0005-0000-0000-0000F7420000}"/>
    <cellStyle name="Note 4 2 3 4 2" xfId="25813" xr:uid="{00000000-0005-0000-0000-0000F8420000}"/>
    <cellStyle name="Note 4 2 3 5" xfId="21350" xr:uid="{00000000-0005-0000-0000-0000F9420000}"/>
    <cellStyle name="Note 4 2 4" xfId="4406" xr:uid="{00000000-0005-0000-0000-0000FA420000}"/>
    <cellStyle name="Note 4 2 4 2" xfId="8445" xr:uid="{00000000-0005-0000-0000-0000FB420000}"/>
    <cellStyle name="Note 4 2 4 2 2" xfId="17666" xr:uid="{00000000-0005-0000-0000-0000FC420000}"/>
    <cellStyle name="Note 4 2 4 2 2 2" xfId="32498" xr:uid="{00000000-0005-0000-0000-0000FD420000}"/>
    <cellStyle name="Note 4 2 4 2 3" xfId="24103" xr:uid="{00000000-0005-0000-0000-0000FE420000}"/>
    <cellStyle name="Note 4 2 4 3" xfId="14735" xr:uid="{00000000-0005-0000-0000-0000FF420000}"/>
    <cellStyle name="Note 4 2 4 3 2" xfId="29567" xr:uid="{00000000-0005-0000-0000-000000430000}"/>
    <cellStyle name="Note 4 2 4 4" xfId="11274" xr:uid="{00000000-0005-0000-0000-000001430000}"/>
    <cellStyle name="Note 4 2 4 4 2" xfId="26106" xr:uid="{00000000-0005-0000-0000-000002430000}"/>
    <cellStyle name="Note 4 2 4 5" xfId="21671" xr:uid="{00000000-0005-0000-0000-000003430000}"/>
    <cellStyle name="Note 4 2 5" xfId="2396" xr:uid="{00000000-0005-0000-0000-000004430000}"/>
    <cellStyle name="Note 4 2 5 2" xfId="6508" xr:uid="{00000000-0005-0000-0000-000005430000}"/>
    <cellStyle name="Note 4 2 5 2 2" xfId="16564" xr:uid="{00000000-0005-0000-0000-000006430000}"/>
    <cellStyle name="Note 4 2 5 2 2 2" xfId="31396" xr:uid="{00000000-0005-0000-0000-000007430000}"/>
    <cellStyle name="Note 4 2 5 2 3" xfId="22878" xr:uid="{00000000-0005-0000-0000-000008430000}"/>
    <cellStyle name="Note 4 2 5 3" xfId="12735" xr:uid="{00000000-0005-0000-0000-000009430000}"/>
    <cellStyle name="Note 4 2 5 3 2" xfId="27567" xr:uid="{00000000-0005-0000-0000-00000A430000}"/>
    <cellStyle name="Note 4 2 5 4" xfId="10214" xr:uid="{00000000-0005-0000-0000-00000B430000}"/>
    <cellStyle name="Note 4 2 5 4 2" xfId="25046" xr:uid="{00000000-0005-0000-0000-00000C430000}"/>
    <cellStyle name="Note 4 2 5 5" xfId="20520" xr:uid="{00000000-0005-0000-0000-00000D430000}"/>
    <cellStyle name="Note 4 2 6" xfId="5521" xr:uid="{00000000-0005-0000-0000-00000E430000}"/>
    <cellStyle name="Note 4 2 6 2" xfId="15756" xr:uid="{00000000-0005-0000-0000-00000F430000}"/>
    <cellStyle name="Note 4 2 6 2 2" xfId="30588" xr:uid="{00000000-0005-0000-0000-000010430000}"/>
    <cellStyle name="Note 4 2 6 3" xfId="22249" xr:uid="{00000000-0005-0000-0000-000011430000}"/>
    <cellStyle name="Note 4 2 7" xfId="11771" xr:uid="{00000000-0005-0000-0000-000012430000}"/>
    <cellStyle name="Note 4 2 7 2" xfId="26603" xr:uid="{00000000-0005-0000-0000-000013430000}"/>
    <cellStyle name="Note 4 2 8" xfId="9442" xr:uid="{00000000-0005-0000-0000-000014430000}"/>
    <cellStyle name="Note 4 2 8 2" xfId="19746" xr:uid="{00000000-0005-0000-0000-000015430000}"/>
    <cellStyle name="Note 4 3" xfId="1514" xr:uid="{00000000-0005-0000-0000-000016430000}"/>
    <cellStyle name="Note 4 3 2" xfId="2011" xr:uid="{00000000-0005-0000-0000-000017430000}"/>
    <cellStyle name="Note 4 3 2 2" xfId="4079" xr:uid="{00000000-0005-0000-0000-000018430000}"/>
    <cellStyle name="Note 4 3 2 2 2" xfId="8125" xr:uid="{00000000-0005-0000-0000-000019430000}"/>
    <cellStyle name="Note 4 3 2 2 2 2" xfId="17508" xr:uid="{00000000-0005-0000-0000-00001A430000}"/>
    <cellStyle name="Note 4 3 2 2 2 2 2" xfId="32340" xr:uid="{00000000-0005-0000-0000-00001B430000}"/>
    <cellStyle name="Note 4 3 2 2 2 3" xfId="23876" xr:uid="{00000000-0005-0000-0000-00001C430000}"/>
    <cellStyle name="Note 4 3 2 2 3" xfId="14411" xr:uid="{00000000-0005-0000-0000-00001D430000}"/>
    <cellStyle name="Note 4 3 2 2 3 2" xfId="29243" xr:uid="{00000000-0005-0000-0000-00001E430000}"/>
    <cellStyle name="Note 4 3 2 2 4" xfId="11125" xr:uid="{00000000-0005-0000-0000-00001F430000}"/>
    <cellStyle name="Note 4 3 2 2 4 2" xfId="25957" xr:uid="{00000000-0005-0000-0000-000020430000}"/>
    <cellStyle name="Note 4 3 2 2 5" xfId="21506" xr:uid="{00000000-0005-0000-0000-000021430000}"/>
    <cellStyle name="Note 4 3 2 3" xfId="4979" xr:uid="{00000000-0005-0000-0000-000022430000}"/>
    <cellStyle name="Note 4 3 2 3 2" xfId="9018" xr:uid="{00000000-0005-0000-0000-000023430000}"/>
    <cellStyle name="Note 4 3 2 3 2 2" xfId="17956" xr:uid="{00000000-0005-0000-0000-000024430000}"/>
    <cellStyle name="Note 4 3 2 3 2 2 2" xfId="32788" xr:uid="{00000000-0005-0000-0000-000025430000}"/>
    <cellStyle name="Note 4 3 2 3 2 3" xfId="24484" xr:uid="{00000000-0005-0000-0000-000026430000}"/>
    <cellStyle name="Note 4 3 2 3 3" xfId="15301" xr:uid="{00000000-0005-0000-0000-000027430000}"/>
    <cellStyle name="Note 4 3 2 3 3 2" xfId="30133" xr:uid="{00000000-0005-0000-0000-000028430000}"/>
    <cellStyle name="Note 4 3 2 3 4" xfId="11557" xr:uid="{00000000-0005-0000-0000-000029430000}"/>
    <cellStyle name="Note 4 3 2 3 4 2" xfId="26389" xr:uid="{00000000-0005-0000-0000-00002A430000}"/>
    <cellStyle name="Note 4 3 2 3 5" xfId="22010" xr:uid="{00000000-0005-0000-0000-00002B430000}"/>
    <cellStyle name="Note 4 3 2 4" xfId="2969" xr:uid="{00000000-0005-0000-0000-00002C430000}"/>
    <cellStyle name="Note 4 3 2 4 2" xfId="7049" xr:uid="{00000000-0005-0000-0000-00002D430000}"/>
    <cellStyle name="Note 4 3 2 4 2 2" xfId="16848" xr:uid="{00000000-0005-0000-0000-00002E430000}"/>
    <cellStyle name="Note 4 3 2 4 2 2 2" xfId="31680" xr:uid="{00000000-0005-0000-0000-00002F430000}"/>
    <cellStyle name="Note 4 3 2 4 2 3" xfId="23223" xr:uid="{00000000-0005-0000-0000-000030430000}"/>
    <cellStyle name="Note 4 3 2 4 3" xfId="13307" xr:uid="{00000000-0005-0000-0000-000031430000}"/>
    <cellStyle name="Note 4 3 2 4 3 2" xfId="28139" xr:uid="{00000000-0005-0000-0000-000032430000}"/>
    <cellStyle name="Note 4 3 2 4 4" xfId="10503" xr:uid="{00000000-0005-0000-0000-000033430000}"/>
    <cellStyle name="Note 4 3 2 4 4 2" xfId="25335" xr:uid="{00000000-0005-0000-0000-000034430000}"/>
    <cellStyle name="Note 4 3 2 4 5" xfId="20895" xr:uid="{00000000-0005-0000-0000-000035430000}"/>
    <cellStyle name="Note 4 3 2 5" xfId="6141" xr:uid="{00000000-0005-0000-0000-000036430000}"/>
    <cellStyle name="Note 4 3 2 5 2" xfId="16328" xr:uid="{00000000-0005-0000-0000-000037430000}"/>
    <cellStyle name="Note 4 3 2 5 2 2" xfId="31160" xr:uid="{00000000-0005-0000-0000-000038430000}"/>
    <cellStyle name="Note 4 3 2 5 3" xfId="22674" xr:uid="{00000000-0005-0000-0000-000039430000}"/>
    <cellStyle name="Note 4 3 2 6" xfId="12398" xr:uid="{00000000-0005-0000-0000-00003A430000}"/>
    <cellStyle name="Note 4 3 2 6 2" xfId="27230" xr:uid="{00000000-0005-0000-0000-00003B430000}"/>
    <cellStyle name="Note 4 3 2 7" xfId="9980" xr:uid="{00000000-0005-0000-0000-00003C430000}"/>
    <cellStyle name="Note 4 3 2 7 2" xfId="24812" xr:uid="{00000000-0005-0000-0000-00003D430000}"/>
    <cellStyle name="Note 4 3 2 8" xfId="20353" xr:uid="{00000000-0005-0000-0000-00003E430000}"/>
    <cellStyle name="Note 4 3 3" xfId="4301" xr:uid="{00000000-0005-0000-0000-00003F430000}"/>
    <cellStyle name="Note 4 3 3 2" xfId="8340" xr:uid="{00000000-0005-0000-0000-000040430000}"/>
    <cellStyle name="Note 4 3 3 2 2" xfId="17619" xr:uid="{00000000-0005-0000-0000-000041430000}"/>
    <cellStyle name="Note 4 3 3 2 2 2" xfId="32451" xr:uid="{00000000-0005-0000-0000-000042430000}"/>
    <cellStyle name="Note 4 3 3 2 3" xfId="24025" xr:uid="{00000000-0005-0000-0000-000043430000}"/>
    <cellStyle name="Note 4 3 3 3" xfId="14632" xr:uid="{00000000-0005-0000-0000-000044430000}"/>
    <cellStyle name="Note 4 3 3 3 2" xfId="29464" xr:uid="{00000000-0005-0000-0000-000045430000}"/>
    <cellStyle name="Note 4 3 3 4" xfId="11231" xr:uid="{00000000-0005-0000-0000-000046430000}"/>
    <cellStyle name="Note 4 3 3 4 2" xfId="26063" xr:uid="{00000000-0005-0000-0000-000047430000}"/>
    <cellStyle name="Note 4 3 3 5" xfId="21622" xr:uid="{00000000-0005-0000-0000-000048430000}"/>
    <cellStyle name="Note 4 3 4" xfId="4559" xr:uid="{00000000-0005-0000-0000-000049430000}"/>
    <cellStyle name="Note 4 3 4 2" xfId="8598" xr:uid="{00000000-0005-0000-0000-00004A430000}"/>
    <cellStyle name="Note 4 3 4 2 2" xfId="17716" xr:uid="{00000000-0005-0000-0000-00004B430000}"/>
    <cellStyle name="Note 4 3 4 2 2 2" xfId="32548" xr:uid="{00000000-0005-0000-0000-00004C430000}"/>
    <cellStyle name="Note 4 3 4 2 3" xfId="24224" xr:uid="{00000000-0005-0000-0000-00004D430000}"/>
    <cellStyle name="Note 4 3 4 3" xfId="14886" xr:uid="{00000000-0005-0000-0000-00004E430000}"/>
    <cellStyle name="Note 4 3 4 3 2" xfId="29718" xr:uid="{00000000-0005-0000-0000-00004F430000}"/>
    <cellStyle name="Note 4 3 4 4" xfId="11322" xr:uid="{00000000-0005-0000-0000-000050430000}"/>
    <cellStyle name="Note 4 3 4 4 2" xfId="26154" xr:uid="{00000000-0005-0000-0000-000051430000}"/>
    <cellStyle name="Note 4 3 4 5" xfId="21780" xr:uid="{00000000-0005-0000-0000-000052430000}"/>
    <cellStyle name="Note 4 3 5" xfId="2549" xr:uid="{00000000-0005-0000-0000-000053430000}"/>
    <cellStyle name="Note 4 3 5 2" xfId="6655" xr:uid="{00000000-0005-0000-0000-000054430000}"/>
    <cellStyle name="Note 4 3 5 2 2" xfId="16613" xr:uid="{00000000-0005-0000-0000-000055430000}"/>
    <cellStyle name="Note 4 3 5 2 2 2" xfId="31445" xr:uid="{00000000-0005-0000-0000-000056430000}"/>
    <cellStyle name="Note 4 3 5 2 3" xfId="22993" xr:uid="{00000000-0005-0000-0000-000057430000}"/>
    <cellStyle name="Note 4 3 5 3" xfId="12887" xr:uid="{00000000-0005-0000-0000-000058430000}"/>
    <cellStyle name="Note 4 3 5 3 2" xfId="27719" xr:uid="{00000000-0005-0000-0000-000059430000}"/>
    <cellStyle name="Note 4 3 5 4" xfId="10263" xr:uid="{00000000-0005-0000-0000-00005A430000}"/>
    <cellStyle name="Note 4 3 5 4 2" xfId="25095" xr:uid="{00000000-0005-0000-0000-00005B430000}"/>
    <cellStyle name="Note 4 3 5 5" xfId="20635" xr:uid="{00000000-0005-0000-0000-00005C430000}"/>
    <cellStyle name="Note 4 3 6" xfId="5672" xr:uid="{00000000-0005-0000-0000-00005D430000}"/>
    <cellStyle name="Note 4 3 6 2" xfId="15907" xr:uid="{00000000-0005-0000-0000-00005E430000}"/>
    <cellStyle name="Note 4 3 6 2 2" xfId="30739" xr:uid="{00000000-0005-0000-0000-00005F430000}"/>
    <cellStyle name="Note 4 3 6 3" xfId="22368" xr:uid="{00000000-0005-0000-0000-000060430000}"/>
    <cellStyle name="Note 4 3 7" xfId="11927" xr:uid="{00000000-0005-0000-0000-000061430000}"/>
    <cellStyle name="Note 4 3 7 2" xfId="26759" xr:uid="{00000000-0005-0000-0000-000062430000}"/>
    <cellStyle name="Note 4 3 8" xfId="9585" xr:uid="{00000000-0005-0000-0000-000063430000}"/>
    <cellStyle name="Note 4 3 8 2" xfId="19887" xr:uid="{00000000-0005-0000-0000-000064430000}"/>
    <cellStyle name="Note 4 4" xfId="1569" xr:uid="{00000000-0005-0000-0000-000065430000}"/>
    <cellStyle name="Note 4 4 2" xfId="2066" xr:uid="{00000000-0005-0000-0000-000066430000}"/>
    <cellStyle name="Note 4 4 2 2" xfId="3407" xr:uid="{00000000-0005-0000-0000-000067430000}"/>
    <cellStyle name="Note 4 4 2 2 2" xfId="7470" xr:uid="{00000000-0005-0000-0000-000068430000}"/>
    <cellStyle name="Note 4 4 2 2 2 2" xfId="17169" xr:uid="{00000000-0005-0000-0000-000069430000}"/>
    <cellStyle name="Note 4 4 2 2 2 2 2" xfId="32001" xr:uid="{00000000-0005-0000-0000-00006A430000}"/>
    <cellStyle name="Note 4 4 2 2 2 3" xfId="23458" xr:uid="{00000000-0005-0000-0000-00006B430000}"/>
    <cellStyle name="Note 4 4 2 2 3" xfId="13744" xr:uid="{00000000-0005-0000-0000-00006C430000}"/>
    <cellStyle name="Note 4 4 2 2 3 2" xfId="28576" xr:uid="{00000000-0005-0000-0000-00006D430000}"/>
    <cellStyle name="Note 4 4 2 2 4" xfId="10788" xr:uid="{00000000-0005-0000-0000-00006E430000}"/>
    <cellStyle name="Note 4 4 2 2 4 2" xfId="25620" xr:uid="{00000000-0005-0000-0000-00006F430000}"/>
    <cellStyle name="Note 4 4 2 2 5" xfId="21136" xr:uid="{00000000-0005-0000-0000-000070430000}"/>
    <cellStyle name="Note 4 4 2 3" xfId="5034" xr:uid="{00000000-0005-0000-0000-000071430000}"/>
    <cellStyle name="Note 4 4 2 3 2" xfId="9073" xr:uid="{00000000-0005-0000-0000-000072430000}"/>
    <cellStyle name="Note 4 4 2 3 2 2" xfId="18006" xr:uid="{00000000-0005-0000-0000-000073430000}"/>
    <cellStyle name="Note 4 4 2 3 2 2 2" xfId="32838" xr:uid="{00000000-0005-0000-0000-000074430000}"/>
    <cellStyle name="Note 4 4 2 3 2 3" xfId="24507" xr:uid="{00000000-0005-0000-0000-000075430000}"/>
    <cellStyle name="Note 4 4 2 3 3" xfId="15355" xr:uid="{00000000-0005-0000-0000-000076430000}"/>
    <cellStyle name="Note 4 4 2 3 3 2" xfId="30187" xr:uid="{00000000-0005-0000-0000-000077430000}"/>
    <cellStyle name="Note 4 4 2 3 4" xfId="11606" xr:uid="{00000000-0005-0000-0000-000078430000}"/>
    <cellStyle name="Note 4 4 2 3 4 2" xfId="26438" xr:uid="{00000000-0005-0000-0000-000079430000}"/>
    <cellStyle name="Note 4 4 2 3 5" xfId="22027" xr:uid="{00000000-0005-0000-0000-00007A430000}"/>
    <cellStyle name="Note 4 4 2 4" xfId="3024" xr:uid="{00000000-0005-0000-0000-00007B430000}"/>
    <cellStyle name="Note 4 4 2 4 2" xfId="7099" xr:uid="{00000000-0005-0000-0000-00007C430000}"/>
    <cellStyle name="Note 4 4 2 4 2 2" xfId="16897" xr:uid="{00000000-0005-0000-0000-00007D430000}"/>
    <cellStyle name="Note 4 4 2 4 2 2 2" xfId="31729" xr:uid="{00000000-0005-0000-0000-00007E430000}"/>
    <cellStyle name="Note 4 4 2 4 2 3" xfId="23240" xr:uid="{00000000-0005-0000-0000-00007F430000}"/>
    <cellStyle name="Note 4 4 2 4 3" xfId="13362" xr:uid="{00000000-0005-0000-0000-000080430000}"/>
    <cellStyle name="Note 4 4 2 4 3 2" xfId="28194" xr:uid="{00000000-0005-0000-0000-000081430000}"/>
    <cellStyle name="Note 4 4 2 4 4" xfId="10553" xr:uid="{00000000-0005-0000-0000-000082430000}"/>
    <cellStyle name="Note 4 4 2 4 4 2" xfId="25385" xr:uid="{00000000-0005-0000-0000-000083430000}"/>
    <cellStyle name="Note 4 4 2 4 5" xfId="20918" xr:uid="{00000000-0005-0000-0000-000084430000}"/>
    <cellStyle name="Note 4 4 2 5" xfId="6191" xr:uid="{00000000-0005-0000-0000-000085430000}"/>
    <cellStyle name="Note 4 4 2 5 2" xfId="16377" xr:uid="{00000000-0005-0000-0000-000086430000}"/>
    <cellStyle name="Note 4 4 2 5 2 2" xfId="31209" xr:uid="{00000000-0005-0000-0000-000087430000}"/>
    <cellStyle name="Note 4 4 2 5 3" xfId="22691" xr:uid="{00000000-0005-0000-0000-000088430000}"/>
    <cellStyle name="Note 4 4 2 6" xfId="12447" xr:uid="{00000000-0005-0000-0000-000089430000}"/>
    <cellStyle name="Note 4 4 2 6 2" xfId="27279" xr:uid="{00000000-0005-0000-0000-00008A430000}"/>
    <cellStyle name="Note 4 4 2 7" xfId="10029" xr:uid="{00000000-0005-0000-0000-00008B430000}"/>
    <cellStyle name="Note 4 4 2 7 2" xfId="24861" xr:uid="{00000000-0005-0000-0000-00008C430000}"/>
    <cellStyle name="Note 4 4 2 8" xfId="20370" xr:uid="{00000000-0005-0000-0000-00008D430000}"/>
    <cellStyle name="Note 4 4 3" xfId="3157" xr:uid="{00000000-0005-0000-0000-00008E430000}"/>
    <cellStyle name="Note 4 4 3 2" xfId="7221" xr:uid="{00000000-0005-0000-0000-00008F430000}"/>
    <cellStyle name="Note 4 4 3 2 2" xfId="16999" xr:uid="{00000000-0005-0000-0000-000090430000}"/>
    <cellStyle name="Note 4 4 3 2 2 2" xfId="31831" xr:uid="{00000000-0005-0000-0000-000091430000}"/>
    <cellStyle name="Note 4 4 3 2 3" xfId="23286" xr:uid="{00000000-0005-0000-0000-000092430000}"/>
    <cellStyle name="Note 4 4 3 3" xfId="13495" xr:uid="{00000000-0005-0000-0000-000093430000}"/>
    <cellStyle name="Note 4 4 3 3 2" xfId="28327" xr:uid="{00000000-0005-0000-0000-000094430000}"/>
    <cellStyle name="Note 4 4 3 4" xfId="10651" xr:uid="{00000000-0005-0000-0000-000095430000}"/>
    <cellStyle name="Note 4 4 3 4 2" xfId="25483" xr:uid="{00000000-0005-0000-0000-000096430000}"/>
    <cellStyle name="Note 4 4 3 5" xfId="20977" xr:uid="{00000000-0005-0000-0000-000097430000}"/>
    <cellStyle name="Note 4 4 4" xfId="4614" xr:uid="{00000000-0005-0000-0000-000098430000}"/>
    <cellStyle name="Note 4 4 4 2" xfId="8653" xr:uid="{00000000-0005-0000-0000-000099430000}"/>
    <cellStyle name="Note 4 4 4 2 2" xfId="17766" xr:uid="{00000000-0005-0000-0000-00009A430000}"/>
    <cellStyle name="Note 4 4 4 2 2 2" xfId="32598" xr:uid="{00000000-0005-0000-0000-00009B430000}"/>
    <cellStyle name="Note 4 4 4 2 3" xfId="24247" xr:uid="{00000000-0005-0000-0000-00009C430000}"/>
    <cellStyle name="Note 4 4 4 3" xfId="14940" xr:uid="{00000000-0005-0000-0000-00009D430000}"/>
    <cellStyle name="Note 4 4 4 3 2" xfId="29772" xr:uid="{00000000-0005-0000-0000-00009E430000}"/>
    <cellStyle name="Note 4 4 4 4" xfId="11371" xr:uid="{00000000-0005-0000-0000-00009F430000}"/>
    <cellStyle name="Note 4 4 4 4 2" xfId="26203" xr:uid="{00000000-0005-0000-0000-0000A0430000}"/>
    <cellStyle name="Note 4 4 4 5" xfId="21797" xr:uid="{00000000-0005-0000-0000-0000A1430000}"/>
    <cellStyle name="Note 4 4 5" xfId="2604" xr:uid="{00000000-0005-0000-0000-0000A2430000}"/>
    <cellStyle name="Note 4 4 5 2" xfId="6705" xr:uid="{00000000-0005-0000-0000-0000A3430000}"/>
    <cellStyle name="Note 4 4 5 2 2" xfId="16662" xr:uid="{00000000-0005-0000-0000-0000A4430000}"/>
    <cellStyle name="Note 4 4 5 2 2 2" xfId="31494" xr:uid="{00000000-0005-0000-0000-0000A5430000}"/>
    <cellStyle name="Note 4 4 5 2 3" xfId="23010" xr:uid="{00000000-0005-0000-0000-0000A6430000}"/>
    <cellStyle name="Note 4 4 5 3" xfId="12942" xr:uid="{00000000-0005-0000-0000-0000A7430000}"/>
    <cellStyle name="Note 4 4 5 3 2" xfId="27774" xr:uid="{00000000-0005-0000-0000-0000A8430000}"/>
    <cellStyle name="Note 4 4 5 4" xfId="10313" xr:uid="{00000000-0005-0000-0000-0000A9430000}"/>
    <cellStyle name="Note 4 4 5 4 2" xfId="25145" xr:uid="{00000000-0005-0000-0000-0000AA430000}"/>
    <cellStyle name="Note 4 4 5 5" xfId="20658" xr:uid="{00000000-0005-0000-0000-0000AB430000}"/>
    <cellStyle name="Note 4 4 6" xfId="5721" xr:uid="{00000000-0005-0000-0000-0000AC430000}"/>
    <cellStyle name="Note 4 4 6 2" xfId="15956" xr:uid="{00000000-0005-0000-0000-0000AD430000}"/>
    <cellStyle name="Note 4 4 6 2 2" xfId="30788" xr:uid="{00000000-0005-0000-0000-0000AE430000}"/>
    <cellStyle name="Note 4 4 6 3" xfId="22385" xr:uid="{00000000-0005-0000-0000-0000AF430000}"/>
    <cellStyle name="Note 4 4 7" xfId="11976" xr:uid="{00000000-0005-0000-0000-0000B0430000}"/>
    <cellStyle name="Note 4 4 7 2" xfId="26808" xr:uid="{00000000-0005-0000-0000-0000B1430000}"/>
    <cellStyle name="Note 4 4 8" xfId="9635" xr:uid="{00000000-0005-0000-0000-0000B2430000}"/>
    <cellStyle name="Note 4 4 8 2" xfId="19936" xr:uid="{00000000-0005-0000-0000-0000B3430000}"/>
    <cellStyle name="Note 4 5" xfId="1619" xr:uid="{00000000-0005-0000-0000-0000B4430000}"/>
    <cellStyle name="Note 4 5 2" xfId="2116" xr:uid="{00000000-0005-0000-0000-0000B5430000}"/>
    <cellStyle name="Note 4 5 2 2" xfId="4098" xr:uid="{00000000-0005-0000-0000-0000B6430000}"/>
    <cellStyle name="Note 4 5 2 2 2" xfId="8144" xr:uid="{00000000-0005-0000-0000-0000B7430000}"/>
    <cellStyle name="Note 4 5 2 2 2 2" xfId="17516" xr:uid="{00000000-0005-0000-0000-0000B8430000}"/>
    <cellStyle name="Note 4 5 2 2 2 2 2" xfId="32348" xr:uid="{00000000-0005-0000-0000-0000B9430000}"/>
    <cellStyle name="Note 4 5 2 2 2 3" xfId="23889" xr:uid="{00000000-0005-0000-0000-0000BA430000}"/>
    <cellStyle name="Note 4 5 2 2 3" xfId="14430" xr:uid="{00000000-0005-0000-0000-0000BB430000}"/>
    <cellStyle name="Note 4 5 2 2 3 2" xfId="29262" xr:uid="{00000000-0005-0000-0000-0000BC430000}"/>
    <cellStyle name="Note 4 5 2 2 4" xfId="11133" xr:uid="{00000000-0005-0000-0000-0000BD430000}"/>
    <cellStyle name="Note 4 5 2 2 4 2" xfId="25965" xr:uid="{00000000-0005-0000-0000-0000BE430000}"/>
    <cellStyle name="Note 4 5 2 2 5" xfId="21519" xr:uid="{00000000-0005-0000-0000-0000BF430000}"/>
    <cellStyle name="Note 4 5 2 3" xfId="5084" xr:uid="{00000000-0005-0000-0000-0000C0430000}"/>
    <cellStyle name="Note 4 5 2 3 2" xfId="9123" xr:uid="{00000000-0005-0000-0000-0000C1430000}"/>
    <cellStyle name="Note 4 5 2 3 2 2" xfId="18051" xr:uid="{00000000-0005-0000-0000-0000C2430000}"/>
    <cellStyle name="Note 4 5 2 3 2 2 2" xfId="32883" xr:uid="{00000000-0005-0000-0000-0000C3430000}"/>
    <cellStyle name="Note 4 5 2 3 2 3" xfId="24525" xr:uid="{00000000-0005-0000-0000-0000C4430000}"/>
    <cellStyle name="Note 4 5 2 3 3" xfId="15404" xr:uid="{00000000-0005-0000-0000-0000C5430000}"/>
    <cellStyle name="Note 4 5 2 3 3 2" xfId="30236" xr:uid="{00000000-0005-0000-0000-0000C6430000}"/>
    <cellStyle name="Note 4 5 2 3 4" xfId="11650" xr:uid="{00000000-0005-0000-0000-0000C7430000}"/>
    <cellStyle name="Note 4 5 2 3 4 2" xfId="26482" xr:uid="{00000000-0005-0000-0000-0000C8430000}"/>
    <cellStyle name="Note 4 5 2 3 5" xfId="22039" xr:uid="{00000000-0005-0000-0000-0000C9430000}"/>
    <cellStyle name="Note 4 5 2 4" xfId="3074" xr:uid="{00000000-0005-0000-0000-0000CA430000}"/>
    <cellStyle name="Note 4 5 2 4 2" xfId="7144" xr:uid="{00000000-0005-0000-0000-0000CB430000}"/>
    <cellStyle name="Note 4 5 2 4 2 2" xfId="16941" xr:uid="{00000000-0005-0000-0000-0000CC430000}"/>
    <cellStyle name="Note 4 5 2 4 2 2 2" xfId="31773" xr:uid="{00000000-0005-0000-0000-0000CD430000}"/>
    <cellStyle name="Note 4 5 2 4 2 3" xfId="23252" xr:uid="{00000000-0005-0000-0000-0000CE430000}"/>
    <cellStyle name="Note 4 5 2 4 3" xfId="13412" xr:uid="{00000000-0005-0000-0000-0000CF430000}"/>
    <cellStyle name="Note 4 5 2 4 3 2" xfId="28244" xr:uid="{00000000-0005-0000-0000-0000D0430000}"/>
    <cellStyle name="Note 4 5 2 4 4" xfId="10598" xr:uid="{00000000-0005-0000-0000-0000D1430000}"/>
    <cellStyle name="Note 4 5 2 4 4 2" xfId="25430" xr:uid="{00000000-0005-0000-0000-0000D2430000}"/>
    <cellStyle name="Note 4 5 2 4 5" xfId="20936" xr:uid="{00000000-0005-0000-0000-0000D3430000}"/>
    <cellStyle name="Note 4 5 2 5" xfId="6236" xr:uid="{00000000-0005-0000-0000-0000D4430000}"/>
    <cellStyle name="Note 4 5 2 5 2" xfId="16421" xr:uid="{00000000-0005-0000-0000-0000D5430000}"/>
    <cellStyle name="Note 4 5 2 5 2 2" xfId="31253" xr:uid="{00000000-0005-0000-0000-0000D6430000}"/>
    <cellStyle name="Note 4 5 2 5 3" xfId="22703" xr:uid="{00000000-0005-0000-0000-0000D7430000}"/>
    <cellStyle name="Note 4 5 2 6" xfId="12491" xr:uid="{00000000-0005-0000-0000-0000D8430000}"/>
    <cellStyle name="Note 4 5 2 6 2" xfId="27323" xr:uid="{00000000-0005-0000-0000-0000D9430000}"/>
    <cellStyle name="Note 4 5 2 7" xfId="10073" xr:uid="{00000000-0005-0000-0000-0000DA430000}"/>
    <cellStyle name="Note 4 5 2 7 2" xfId="24905" xr:uid="{00000000-0005-0000-0000-0000DB430000}"/>
    <cellStyle name="Note 4 5 2 8" xfId="20382" xr:uid="{00000000-0005-0000-0000-0000DC430000}"/>
    <cellStyle name="Note 4 5 3" xfId="3547" xr:uid="{00000000-0005-0000-0000-0000DD430000}"/>
    <cellStyle name="Note 4 5 3 2" xfId="7609" xr:uid="{00000000-0005-0000-0000-0000DE430000}"/>
    <cellStyle name="Note 4 5 3 2 2" xfId="17251" xr:uid="{00000000-0005-0000-0000-0000DF430000}"/>
    <cellStyle name="Note 4 5 3 2 2 2" xfId="32083" xr:uid="{00000000-0005-0000-0000-0000E0430000}"/>
    <cellStyle name="Note 4 5 3 2 3" xfId="23545" xr:uid="{00000000-0005-0000-0000-0000E1430000}"/>
    <cellStyle name="Note 4 5 3 3" xfId="13883" xr:uid="{00000000-0005-0000-0000-0000E2430000}"/>
    <cellStyle name="Note 4 5 3 3 2" xfId="28715" xr:uid="{00000000-0005-0000-0000-0000E3430000}"/>
    <cellStyle name="Note 4 5 3 4" xfId="10868" xr:uid="{00000000-0005-0000-0000-0000E4430000}"/>
    <cellStyle name="Note 4 5 3 4 2" xfId="25700" xr:uid="{00000000-0005-0000-0000-0000E5430000}"/>
    <cellStyle name="Note 4 5 3 5" xfId="21218" xr:uid="{00000000-0005-0000-0000-0000E6430000}"/>
    <cellStyle name="Note 4 5 4" xfId="4664" xr:uid="{00000000-0005-0000-0000-0000E7430000}"/>
    <cellStyle name="Note 4 5 4 2" xfId="8703" xr:uid="{00000000-0005-0000-0000-0000E8430000}"/>
    <cellStyle name="Note 4 5 4 2 2" xfId="17811" xr:uid="{00000000-0005-0000-0000-0000E9430000}"/>
    <cellStyle name="Note 4 5 4 2 2 2" xfId="32643" xr:uid="{00000000-0005-0000-0000-0000EA430000}"/>
    <cellStyle name="Note 4 5 4 2 3" xfId="24265" xr:uid="{00000000-0005-0000-0000-0000EB430000}"/>
    <cellStyle name="Note 4 5 4 3" xfId="14989" xr:uid="{00000000-0005-0000-0000-0000EC430000}"/>
    <cellStyle name="Note 4 5 4 3 2" xfId="29821" xr:uid="{00000000-0005-0000-0000-0000ED430000}"/>
    <cellStyle name="Note 4 5 4 4" xfId="11415" xr:uid="{00000000-0005-0000-0000-0000EE430000}"/>
    <cellStyle name="Note 4 5 4 4 2" xfId="26247" xr:uid="{00000000-0005-0000-0000-0000EF430000}"/>
    <cellStyle name="Note 4 5 4 5" xfId="21809" xr:uid="{00000000-0005-0000-0000-0000F0430000}"/>
    <cellStyle name="Note 4 5 5" xfId="2654" xr:uid="{00000000-0005-0000-0000-0000F1430000}"/>
    <cellStyle name="Note 4 5 5 2" xfId="6750" xr:uid="{00000000-0005-0000-0000-0000F2430000}"/>
    <cellStyle name="Note 4 5 5 2 2" xfId="16706" xr:uid="{00000000-0005-0000-0000-0000F3430000}"/>
    <cellStyle name="Note 4 5 5 2 2 2" xfId="31538" xr:uid="{00000000-0005-0000-0000-0000F4430000}"/>
    <cellStyle name="Note 4 5 5 2 3" xfId="23022" xr:uid="{00000000-0005-0000-0000-0000F5430000}"/>
    <cellStyle name="Note 4 5 5 3" xfId="12992" xr:uid="{00000000-0005-0000-0000-0000F6430000}"/>
    <cellStyle name="Note 4 5 5 3 2" xfId="27824" xr:uid="{00000000-0005-0000-0000-0000F7430000}"/>
    <cellStyle name="Note 4 5 5 4" xfId="10358" xr:uid="{00000000-0005-0000-0000-0000F8430000}"/>
    <cellStyle name="Note 4 5 5 4 2" xfId="25190" xr:uid="{00000000-0005-0000-0000-0000F9430000}"/>
    <cellStyle name="Note 4 5 5 5" xfId="20676" xr:uid="{00000000-0005-0000-0000-0000FA430000}"/>
    <cellStyle name="Note 4 5 6" xfId="5766" xr:uid="{00000000-0005-0000-0000-0000FB430000}"/>
    <cellStyle name="Note 4 5 6 2" xfId="16000" xr:uid="{00000000-0005-0000-0000-0000FC430000}"/>
    <cellStyle name="Note 4 5 6 2 2" xfId="30832" xr:uid="{00000000-0005-0000-0000-0000FD430000}"/>
    <cellStyle name="Note 4 5 6 3" xfId="22397" xr:uid="{00000000-0005-0000-0000-0000FE430000}"/>
    <cellStyle name="Note 4 5 7" xfId="12020" xr:uid="{00000000-0005-0000-0000-0000FF430000}"/>
    <cellStyle name="Note 4 5 7 2" xfId="26852" xr:uid="{00000000-0005-0000-0000-000000440000}"/>
    <cellStyle name="Note 4 5 8" xfId="9680" xr:uid="{00000000-0005-0000-0000-000001440000}"/>
    <cellStyle name="Note 4 5 8 2" xfId="19980" xr:uid="{00000000-0005-0000-0000-000002440000}"/>
    <cellStyle name="Note 4 6" xfId="1770" xr:uid="{00000000-0005-0000-0000-000003440000}"/>
    <cellStyle name="Note 4 6 2" xfId="3924" xr:uid="{00000000-0005-0000-0000-000004440000}"/>
    <cellStyle name="Note 4 6 2 2" xfId="7974" xr:uid="{00000000-0005-0000-0000-000005440000}"/>
    <cellStyle name="Note 4 6 2 2 2" xfId="17433" xr:uid="{00000000-0005-0000-0000-000006440000}"/>
    <cellStyle name="Note 4 6 2 2 2 2" xfId="32265" xr:uid="{00000000-0005-0000-0000-000007440000}"/>
    <cellStyle name="Note 4 6 2 2 3" xfId="23781" xr:uid="{00000000-0005-0000-0000-000008440000}"/>
    <cellStyle name="Note 4 6 2 3" xfId="14257" xr:uid="{00000000-0005-0000-0000-000009440000}"/>
    <cellStyle name="Note 4 6 2 3 2" xfId="29089" xr:uid="{00000000-0005-0000-0000-00000A440000}"/>
    <cellStyle name="Note 4 6 2 4" xfId="11048" xr:uid="{00000000-0005-0000-0000-00000B440000}"/>
    <cellStyle name="Note 4 6 2 4 2" xfId="25880" xr:uid="{00000000-0005-0000-0000-00000C440000}"/>
    <cellStyle name="Note 4 6 2 5" xfId="21423" xr:uid="{00000000-0005-0000-0000-00000D440000}"/>
    <cellStyle name="Note 4 6 3" xfId="4748" xr:uid="{00000000-0005-0000-0000-00000E440000}"/>
    <cellStyle name="Note 4 6 3 2" xfId="8787" xr:uid="{00000000-0005-0000-0000-00000F440000}"/>
    <cellStyle name="Note 4 6 3 2 2" xfId="17859" xr:uid="{00000000-0005-0000-0000-000010440000}"/>
    <cellStyle name="Note 4 6 3 2 2 2" xfId="32691" xr:uid="{00000000-0005-0000-0000-000011440000}"/>
    <cellStyle name="Note 4 6 3 2 3" xfId="24317" xr:uid="{00000000-0005-0000-0000-000012440000}"/>
    <cellStyle name="Note 4 6 3 3" xfId="15072" xr:uid="{00000000-0005-0000-0000-000013440000}"/>
    <cellStyle name="Note 4 6 3 3 2" xfId="29904" xr:uid="{00000000-0005-0000-0000-000014440000}"/>
    <cellStyle name="Note 4 6 3 4" xfId="11462" xr:uid="{00000000-0005-0000-0000-000015440000}"/>
    <cellStyle name="Note 4 6 3 4 2" xfId="26294" xr:uid="{00000000-0005-0000-0000-000016440000}"/>
    <cellStyle name="Note 4 6 3 5" xfId="21855" xr:uid="{00000000-0005-0000-0000-000017440000}"/>
    <cellStyle name="Note 4 6 4" xfId="2738" xr:uid="{00000000-0005-0000-0000-000018440000}"/>
    <cellStyle name="Note 4 6 4 2" xfId="6829" xr:uid="{00000000-0005-0000-0000-000019440000}"/>
    <cellStyle name="Note 4 6 4 2 2" xfId="16753" xr:uid="{00000000-0005-0000-0000-00001A440000}"/>
    <cellStyle name="Note 4 6 4 2 2 2" xfId="31585" xr:uid="{00000000-0005-0000-0000-00001B440000}"/>
    <cellStyle name="Note 4 6 4 2 3" xfId="23068" xr:uid="{00000000-0005-0000-0000-00001C440000}"/>
    <cellStyle name="Note 4 6 4 3" xfId="13076" xr:uid="{00000000-0005-0000-0000-00001D440000}"/>
    <cellStyle name="Note 4 6 4 3 2" xfId="27908" xr:uid="{00000000-0005-0000-0000-00001E440000}"/>
    <cellStyle name="Note 4 6 4 4" xfId="10406" xr:uid="{00000000-0005-0000-0000-00001F440000}"/>
    <cellStyle name="Note 4 6 4 4 2" xfId="25238" xr:uid="{00000000-0005-0000-0000-000020440000}"/>
    <cellStyle name="Note 4 6 4 5" xfId="20728" xr:uid="{00000000-0005-0000-0000-000021440000}"/>
    <cellStyle name="Note 4 6 5" xfId="5902" xr:uid="{00000000-0005-0000-0000-000022440000}"/>
    <cellStyle name="Note 4 6 5 2" xfId="16094" xr:uid="{00000000-0005-0000-0000-000023440000}"/>
    <cellStyle name="Note 4 6 5 2 2" xfId="30926" xr:uid="{00000000-0005-0000-0000-000024440000}"/>
    <cellStyle name="Note 4 6 5 3" xfId="22499" xr:uid="{00000000-0005-0000-0000-000025440000}"/>
    <cellStyle name="Note 4 6 6" xfId="12164" xr:uid="{00000000-0005-0000-0000-000026440000}"/>
    <cellStyle name="Note 4 6 6 2" xfId="26996" xr:uid="{00000000-0005-0000-0000-000027440000}"/>
    <cellStyle name="Note 4 6 7" xfId="9760" xr:uid="{00000000-0005-0000-0000-000028440000}"/>
    <cellStyle name="Note 4 6 7 2" xfId="24717" xr:uid="{00000000-0005-0000-0000-000029440000}"/>
    <cellStyle name="Note 4 6 8" xfId="20307" xr:uid="{00000000-0005-0000-0000-00002A440000}"/>
    <cellStyle name="Note 4 7" xfId="2196" xr:uid="{00000000-0005-0000-0000-00002B440000}"/>
    <cellStyle name="Note 4 7 2" xfId="3640" xr:uid="{00000000-0005-0000-0000-00002C440000}"/>
    <cellStyle name="Note 4 7 2 2" xfId="7699" xr:uid="{00000000-0005-0000-0000-00002D440000}"/>
    <cellStyle name="Note 4 7 2 2 2" xfId="17297" xr:uid="{00000000-0005-0000-0000-00002E440000}"/>
    <cellStyle name="Note 4 7 2 2 2 2" xfId="32129" xr:uid="{00000000-0005-0000-0000-00002F440000}"/>
    <cellStyle name="Note 4 7 2 2 3" xfId="23599" xr:uid="{00000000-0005-0000-0000-000030440000}"/>
    <cellStyle name="Note 4 7 2 3" xfId="13975" xr:uid="{00000000-0005-0000-0000-000031440000}"/>
    <cellStyle name="Note 4 7 2 3 2" xfId="28807" xr:uid="{00000000-0005-0000-0000-000032440000}"/>
    <cellStyle name="Note 4 7 2 4" xfId="10913" xr:uid="{00000000-0005-0000-0000-000033440000}"/>
    <cellStyle name="Note 4 7 2 4 2" xfId="25745" xr:uid="{00000000-0005-0000-0000-000034440000}"/>
    <cellStyle name="Note 4 7 2 5" xfId="21265" xr:uid="{00000000-0005-0000-0000-000035440000}"/>
    <cellStyle name="Note 4 7 3" xfId="5164" xr:uid="{00000000-0005-0000-0000-000036440000}"/>
    <cellStyle name="Note 4 7 3 2" xfId="9203" xr:uid="{00000000-0005-0000-0000-000037440000}"/>
    <cellStyle name="Note 4 7 3 2 2" xfId="18126" xr:uid="{00000000-0005-0000-0000-000038440000}"/>
    <cellStyle name="Note 4 7 3 2 2 2" xfId="32958" xr:uid="{00000000-0005-0000-0000-000039440000}"/>
    <cellStyle name="Note 4 7 3 2 3" xfId="24541" xr:uid="{00000000-0005-0000-0000-00003A440000}"/>
    <cellStyle name="Note 4 7 3 3" xfId="15482" xr:uid="{00000000-0005-0000-0000-00003B440000}"/>
    <cellStyle name="Note 4 7 3 3 2" xfId="30314" xr:uid="{00000000-0005-0000-0000-00003C440000}"/>
    <cellStyle name="Note 4 7 3 4" xfId="11723" xr:uid="{00000000-0005-0000-0000-00003D440000}"/>
    <cellStyle name="Note 4 7 3 4 2" xfId="26555" xr:uid="{00000000-0005-0000-0000-00003E440000}"/>
    <cellStyle name="Note 4 7 3 5" xfId="22048" xr:uid="{00000000-0005-0000-0000-00003F440000}"/>
    <cellStyle name="Note 4 7 4" xfId="4194" xr:uid="{00000000-0005-0000-0000-000040440000}"/>
    <cellStyle name="Note 4 7 4 2" xfId="8235" xr:uid="{00000000-0005-0000-0000-000041440000}"/>
    <cellStyle name="Note 4 7 4 2 2" xfId="17582" xr:uid="{00000000-0005-0000-0000-000042440000}"/>
    <cellStyle name="Note 4 7 4 2 2 2" xfId="32414" xr:uid="{00000000-0005-0000-0000-000043440000}"/>
    <cellStyle name="Note 4 7 4 2 3" xfId="23930" xr:uid="{00000000-0005-0000-0000-000044440000}"/>
    <cellStyle name="Note 4 7 4 3" xfId="14526" xr:uid="{00000000-0005-0000-0000-000045440000}"/>
    <cellStyle name="Note 4 7 4 3 2" xfId="29358" xr:uid="{00000000-0005-0000-0000-000046440000}"/>
    <cellStyle name="Note 4 7 4 4" xfId="11202" xr:uid="{00000000-0005-0000-0000-000047440000}"/>
    <cellStyle name="Note 4 7 4 4 2" xfId="26034" xr:uid="{00000000-0005-0000-0000-000048440000}"/>
    <cellStyle name="Note 4 7 4 5" xfId="21555" xr:uid="{00000000-0005-0000-0000-000049440000}"/>
    <cellStyle name="Note 4 7 5" xfId="6310" xr:uid="{00000000-0005-0000-0000-00004A440000}"/>
    <cellStyle name="Note 4 7 5 2" xfId="16494" xr:uid="{00000000-0005-0000-0000-00004B440000}"/>
    <cellStyle name="Note 4 7 5 2 2" xfId="31326" xr:uid="{00000000-0005-0000-0000-00004C440000}"/>
    <cellStyle name="Note 4 7 5 3" xfId="22712" xr:uid="{00000000-0005-0000-0000-00004D440000}"/>
    <cellStyle name="Note 4 7 6" xfId="12564" xr:uid="{00000000-0005-0000-0000-00004E440000}"/>
    <cellStyle name="Note 4 7 6 2" xfId="27396" xr:uid="{00000000-0005-0000-0000-00004F440000}"/>
    <cellStyle name="Note 4 7 7" xfId="10146" xr:uid="{00000000-0005-0000-0000-000050440000}"/>
    <cellStyle name="Note 4 7 7 2" xfId="24978" xr:uid="{00000000-0005-0000-0000-000051440000}"/>
    <cellStyle name="Note 4 7 8" xfId="20391" xr:uid="{00000000-0005-0000-0000-000052440000}"/>
    <cellStyle name="Note 4 8" xfId="3159" xr:uid="{00000000-0005-0000-0000-000053440000}"/>
    <cellStyle name="Note 4 8 2" xfId="7223" xr:uid="{00000000-0005-0000-0000-000054440000}"/>
    <cellStyle name="Note 4 8 2 2" xfId="17001" xr:uid="{00000000-0005-0000-0000-000055440000}"/>
    <cellStyle name="Note 4 8 2 2 2" xfId="31833" xr:uid="{00000000-0005-0000-0000-000056440000}"/>
    <cellStyle name="Note 4 8 2 3" xfId="23288" xr:uid="{00000000-0005-0000-0000-000057440000}"/>
    <cellStyle name="Note 4 8 3" xfId="13497" xr:uid="{00000000-0005-0000-0000-000058440000}"/>
    <cellStyle name="Note 4 8 3 2" xfId="28329" xr:uid="{00000000-0005-0000-0000-000059440000}"/>
    <cellStyle name="Note 4 8 4" xfId="10653" xr:uid="{00000000-0005-0000-0000-00005A440000}"/>
    <cellStyle name="Note 4 8 4 2" xfId="25485" xr:uid="{00000000-0005-0000-0000-00005B440000}"/>
    <cellStyle name="Note 4 8 5" xfId="20979" xr:uid="{00000000-0005-0000-0000-00005C440000}"/>
    <cellStyle name="Note 4 9" xfId="4313" xr:uid="{00000000-0005-0000-0000-00005D440000}"/>
    <cellStyle name="Note 4 9 2" xfId="8352" xr:uid="{00000000-0005-0000-0000-00005E440000}"/>
    <cellStyle name="Note 4 9 2 2" xfId="17631" xr:uid="{00000000-0005-0000-0000-00005F440000}"/>
    <cellStyle name="Note 4 9 2 2 2" xfId="32463" xr:uid="{00000000-0005-0000-0000-000060440000}"/>
    <cellStyle name="Note 4 9 2 3" xfId="24029" xr:uid="{00000000-0005-0000-0000-000061440000}"/>
    <cellStyle name="Note 4 9 3" xfId="14644" xr:uid="{00000000-0005-0000-0000-000062440000}"/>
    <cellStyle name="Note 4 9 3 2" xfId="29476" xr:uid="{00000000-0005-0000-0000-000063440000}"/>
    <cellStyle name="Note 4 9 4" xfId="11241" xr:uid="{00000000-0005-0000-0000-000064440000}"/>
    <cellStyle name="Note 4 9 4 2" xfId="26073" xr:uid="{00000000-0005-0000-0000-000065440000}"/>
    <cellStyle name="Note 4 9 5" xfId="21626" xr:uid="{00000000-0005-0000-0000-000066440000}"/>
    <cellStyle name="Note 5" xfId="1226" xr:uid="{00000000-0005-0000-0000-000067440000}"/>
    <cellStyle name="Note 5 10" xfId="2312" xr:uid="{00000000-0005-0000-0000-000068440000}"/>
    <cellStyle name="Note 5 10 2" xfId="6424" xr:uid="{00000000-0005-0000-0000-000069440000}"/>
    <cellStyle name="Note 5 10 2 2" xfId="16517" xr:uid="{00000000-0005-0000-0000-00006A440000}"/>
    <cellStyle name="Note 5 10 2 2 2" xfId="31349" xr:uid="{00000000-0005-0000-0000-00006B440000}"/>
    <cellStyle name="Note 5 10 2 3" xfId="22826" xr:uid="{00000000-0005-0000-0000-00006C440000}"/>
    <cellStyle name="Note 5 10 3" xfId="12652" xr:uid="{00000000-0005-0000-0000-00006D440000}"/>
    <cellStyle name="Note 5 10 3 2" xfId="27484" xr:uid="{00000000-0005-0000-0000-00006E440000}"/>
    <cellStyle name="Note 5 10 4" xfId="10168" xr:uid="{00000000-0005-0000-0000-00006F440000}"/>
    <cellStyle name="Note 5 10 4 2" xfId="25000" xr:uid="{00000000-0005-0000-0000-000070440000}"/>
    <cellStyle name="Note 5 10 5" xfId="20475" xr:uid="{00000000-0005-0000-0000-000071440000}"/>
    <cellStyle name="Note 5 11" xfId="5275" xr:uid="{00000000-0005-0000-0000-000072440000}"/>
    <cellStyle name="Note 5 11 2" xfId="9283" xr:uid="{00000000-0005-0000-0000-000073440000}"/>
    <cellStyle name="Note 5 11 2 2" xfId="18150" xr:uid="{00000000-0005-0000-0000-000074440000}"/>
    <cellStyle name="Note 5 11 2 2 2" xfId="32982" xr:uid="{00000000-0005-0000-0000-000075440000}"/>
    <cellStyle name="Note 5 11 2 3" xfId="24621" xr:uid="{00000000-0005-0000-0000-000076440000}"/>
    <cellStyle name="Note 5 11 3" xfId="15591" xr:uid="{00000000-0005-0000-0000-000077440000}"/>
    <cellStyle name="Note 5 11 3 2" xfId="30423" xr:uid="{00000000-0005-0000-0000-000078440000}"/>
    <cellStyle name="Note 5 11 4" xfId="22132" xr:uid="{00000000-0005-0000-0000-000079440000}"/>
    <cellStyle name="Note 5 12" xfId="5433" xr:uid="{00000000-0005-0000-0000-00007A440000}"/>
    <cellStyle name="Note 5 12 2" xfId="15669" xr:uid="{00000000-0005-0000-0000-00007B440000}"/>
    <cellStyle name="Note 5 12 2 2" xfId="30501" xr:uid="{00000000-0005-0000-0000-00007C440000}"/>
    <cellStyle name="Note 5 12 3" xfId="22194" xr:uid="{00000000-0005-0000-0000-00007D440000}"/>
    <cellStyle name="Note 5 13" xfId="9358" xr:uid="{00000000-0005-0000-0000-00007E440000}"/>
    <cellStyle name="Note 5 13 2" xfId="24664" xr:uid="{00000000-0005-0000-0000-00007F440000}"/>
    <cellStyle name="Note 5 14" xfId="5347" xr:uid="{00000000-0005-0000-0000-000080440000}"/>
    <cellStyle name="Note 5 14 2" xfId="18221" xr:uid="{00000000-0005-0000-0000-000081440000}"/>
    <cellStyle name="Note 5 2" xfId="1345" xr:uid="{00000000-0005-0000-0000-000082440000}"/>
    <cellStyle name="Note 5 2 2" xfId="1849" xr:uid="{00000000-0005-0000-0000-000083440000}"/>
    <cellStyle name="Note 5 2 2 2" xfId="3728" xr:uid="{00000000-0005-0000-0000-000084440000}"/>
    <cellStyle name="Note 5 2 2 2 2" xfId="7784" xr:uid="{00000000-0005-0000-0000-000085440000}"/>
    <cellStyle name="Note 5 2 2 2 2 2" xfId="17337" xr:uid="{00000000-0005-0000-0000-000086440000}"/>
    <cellStyle name="Note 5 2 2 2 2 2 2" xfId="32169" xr:uid="{00000000-0005-0000-0000-000087440000}"/>
    <cellStyle name="Note 5 2 2 2 2 3" xfId="23661" xr:uid="{00000000-0005-0000-0000-000088440000}"/>
    <cellStyle name="Note 5 2 2 2 3" xfId="14063" xr:uid="{00000000-0005-0000-0000-000089440000}"/>
    <cellStyle name="Note 5 2 2 2 3 2" xfId="28895" xr:uid="{00000000-0005-0000-0000-00008A440000}"/>
    <cellStyle name="Note 5 2 2 2 4" xfId="10953" xr:uid="{00000000-0005-0000-0000-00008B440000}"/>
    <cellStyle name="Note 5 2 2 2 4 2" xfId="25785" xr:uid="{00000000-0005-0000-0000-00008C440000}"/>
    <cellStyle name="Note 5 2 2 2 5" xfId="21321" xr:uid="{00000000-0005-0000-0000-00008D440000}"/>
    <cellStyle name="Note 5 2 2 3" xfId="4827" xr:uid="{00000000-0005-0000-0000-00008E440000}"/>
    <cellStyle name="Note 5 2 2 3 2" xfId="8866" xr:uid="{00000000-0005-0000-0000-00008F440000}"/>
    <cellStyle name="Note 5 2 2 3 2 2" xfId="17907" xr:uid="{00000000-0005-0000-0000-000090440000}"/>
    <cellStyle name="Note 5 2 2 3 2 2 2" xfId="32739" xr:uid="{00000000-0005-0000-0000-000091440000}"/>
    <cellStyle name="Note 5 2 2 3 2 3" xfId="24364" xr:uid="{00000000-0005-0000-0000-000092440000}"/>
    <cellStyle name="Note 5 2 2 3 3" xfId="15151" xr:uid="{00000000-0005-0000-0000-000093440000}"/>
    <cellStyle name="Note 5 2 2 3 3 2" xfId="29983" xr:uid="{00000000-0005-0000-0000-000094440000}"/>
    <cellStyle name="Note 5 2 2 3 4" xfId="11510" xr:uid="{00000000-0005-0000-0000-000095440000}"/>
    <cellStyle name="Note 5 2 2 3 4 2" xfId="26342" xr:uid="{00000000-0005-0000-0000-000096440000}"/>
    <cellStyle name="Note 5 2 2 3 5" xfId="21902" xr:uid="{00000000-0005-0000-0000-000097440000}"/>
    <cellStyle name="Note 5 2 2 4" xfId="2817" xr:uid="{00000000-0005-0000-0000-000098440000}"/>
    <cellStyle name="Note 5 2 2 4 2" xfId="6908" xr:uid="{00000000-0005-0000-0000-000099440000}"/>
    <cellStyle name="Note 5 2 2 4 2 2" xfId="16801" xr:uid="{00000000-0005-0000-0000-00009A440000}"/>
    <cellStyle name="Note 5 2 2 4 2 2 2" xfId="31633" xr:uid="{00000000-0005-0000-0000-00009B440000}"/>
    <cellStyle name="Note 5 2 2 4 2 3" xfId="23115" xr:uid="{00000000-0005-0000-0000-00009C440000}"/>
    <cellStyle name="Note 5 2 2 4 3" xfId="13155" xr:uid="{00000000-0005-0000-0000-00009D440000}"/>
    <cellStyle name="Note 5 2 2 4 3 2" xfId="27987" xr:uid="{00000000-0005-0000-0000-00009E440000}"/>
    <cellStyle name="Note 5 2 2 4 4" xfId="10454" xr:uid="{00000000-0005-0000-0000-00009F440000}"/>
    <cellStyle name="Note 5 2 2 4 4 2" xfId="25286" xr:uid="{00000000-0005-0000-0000-0000A0440000}"/>
    <cellStyle name="Note 5 2 2 4 5" xfId="20775" xr:uid="{00000000-0005-0000-0000-0000A1440000}"/>
    <cellStyle name="Note 5 2 2 5" xfId="5981" xr:uid="{00000000-0005-0000-0000-0000A2440000}"/>
    <cellStyle name="Note 5 2 2 5 2" xfId="16173" xr:uid="{00000000-0005-0000-0000-0000A3440000}"/>
    <cellStyle name="Note 5 2 2 5 2 2" xfId="31005" xr:uid="{00000000-0005-0000-0000-0000A4440000}"/>
    <cellStyle name="Note 5 2 2 5 3" xfId="22546" xr:uid="{00000000-0005-0000-0000-0000A5440000}"/>
    <cellStyle name="Note 5 2 2 6" xfId="12243" xr:uid="{00000000-0005-0000-0000-0000A6440000}"/>
    <cellStyle name="Note 5 2 2 6 2" xfId="27075" xr:uid="{00000000-0005-0000-0000-0000A7440000}"/>
    <cellStyle name="Note 5 2 2 7" xfId="9839" xr:uid="{00000000-0005-0000-0000-0000A8440000}"/>
    <cellStyle name="Note 5 2 2 7 2" xfId="24765" xr:uid="{00000000-0005-0000-0000-0000A9440000}"/>
    <cellStyle name="Note 5 2 2 8" xfId="20323" xr:uid="{00000000-0005-0000-0000-0000AA440000}"/>
    <cellStyle name="Note 5 2 3" xfId="3624" xr:uid="{00000000-0005-0000-0000-0000AB440000}"/>
    <cellStyle name="Note 5 2 3 2" xfId="7684" xr:uid="{00000000-0005-0000-0000-0000AC440000}"/>
    <cellStyle name="Note 5 2 3 2 2" xfId="17286" xr:uid="{00000000-0005-0000-0000-0000AD440000}"/>
    <cellStyle name="Note 5 2 3 2 2 2" xfId="32118" xr:uid="{00000000-0005-0000-0000-0000AE440000}"/>
    <cellStyle name="Note 5 2 3 2 3" xfId="23593" xr:uid="{00000000-0005-0000-0000-0000AF440000}"/>
    <cellStyle name="Note 5 2 3 3" xfId="13959" xr:uid="{00000000-0005-0000-0000-0000B0440000}"/>
    <cellStyle name="Note 5 2 3 3 2" xfId="28791" xr:uid="{00000000-0005-0000-0000-0000B1440000}"/>
    <cellStyle name="Note 5 2 3 4" xfId="10902" xr:uid="{00000000-0005-0000-0000-0000B2440000}"/>
    <cellStyle name="Note 5 2 3 4 2" xfId="25734" xr:uid="{00000000-0005-0000-0000-0000B3440000}"/>
    <cellStyle name="Note 5 2 3 5" xfId="21257" xr:uid="{00000000-0005-0000-0000-0000B4440000}"/>
    <cellStyle name="Note 5 2 4" xfId="4407" xr:uid="{00000000-0005-0000-0000-0000B5440000}"/>
    <cellStyle name="Note 5 2 4 2" xfId="8446" xr:uid="{00000000-0005-0000-0000-0000B6440000}"/>
    <cellStyle name="Note 5 2 4 2 2" xfId="17667" xr:uid="{00000000-0005-0000-0000-0000B7440000}"/>
    <cellStyle name="Note 5 2 4 2 2 2" xfId="32499" xr:uid="{00000000-0005-0000-0000-0000B8440000}"/>
    <cellStyle name="Note 5 2 4 2 3" xfId="24104" xr:uid="{00000000-0005-0000-0000-0000B9440000}"/>
    <cellStyle name="Note 5 2 4 3" xfId="14736" xr:uid="{00000000-0005-0000-0000-0000BA440000}"/>
    <cellStyle name="Note 5 2 4 3 2" xfId="29568" xr:uid="{00000000-0005-0000-0000-0000BB440000}"/>
    <cellStyle name="Note 5 2 4 4" xfId="11275" xr:uid="{00000000-0005-0000-0000-0000BC440000}"/>
    <cellStyle name="Note 5 2 4 4 2" xfId="26107" xr:uid="{00000000-0005-0000-0000-0000BD440000}"/>
    <cellStyle name="Note 5 2 4 5" xfId="21672" xr:uid="{00000000-0005-0000-0000-0000BE440000}"/>
    <cellStyle name="Note 5 2 5" xfId="2397" xr:uid="{00000000-0005-0000-0000-0000BF440000}"/>
    <cellStyle name="Note 5 2 5 2" xfId="6509" xr:uid="{00000000-0005-0000-0000-0000C0440000}"/>
    <cellStyle name="Note 5 2 5 2 2" xfId="16565" xr:uid="{00000000-0005-0000-0000-0000C1440000}"/>
    <cellStyle name="Note 5 2 5 2 2 2" xfId="31397" xr:uid="{00000000-0005-0000-0000-0000C2440000}"/>
    <cellStyle name="Note 5 2 5 2 3" xfId="22879" xr:uid="{00000000-0005-0000-0000-0000C3440000}"/>
    <cellStyle name="Note 5 2 5 3" xfId="12736" xr:uid="{00000000-0005-0000-0000-0000C4440000}"/>
    <cellStyle name="Note 5 2 5 3 2" xfId="27568" xr:uid="{00000000-0005-0000-0000-0000C5440000}"/>
    <cellStyle name="Note 5 2 5 4" xfId="10215" xr:uid="{00000000-0005-0000-0000-0000C6440000}"/>
    <cellStyle name="Note 5 2 5 4 2" xfId="25047" xr:uid="{00000000-0005-0000-0000-0000C7440000}"/>
    <cellStyle name="Note 5 2 5 5" xfId="20521" xr:uid="{00000000-0005-0000-0000-0000C8440000}"/>
    <cellStyle name="Note 5 2 6" xfId="5522" xr:uid="{00000000-0005-0000-0000-0000C9440000}"/>
    <cellStyle name="Note 5 2 6 2" xfId="15757" xr:uid="{00000000-0005-0000-0000-0000CA440000}"/>
    <cellStyle name="Note 5 2 6 2 2" xfId="30589" xr:uid="{00000000-0005-0000-0000-0000CB440000}"/>
    <cellStyle name="Note 5 2 6 3" xfId="22250" xr:uid="{00000000-0005-0000-0000-0000CC440000}"/>
    <cellStyle name="Note 5 2 7" xfId="11772" xr:uid="{00000000-0005-0000-0000-0000CD440000}"/>
    <cellStyle name="Note 5 2 7 2" xfId="26604" xr:uid="{00000000-0005-0000-0000-0000CE440000}"/>
    <cellStyle name="Note 5 2 8" xfId="9443" xr:uid="{00000000-0005-0000-0000-0000CF440000}"/>
    <cellStyle name="Note 5 2 8 2" xfId="19747" xr:uid="{00000000-0005-0000-0000-0000D0440000}"/>
    <cellStyle name="Note 5 3" xfId="1515" xr:uid="{00000000-0005-0000-0000-0000D1440000}"/>
    <cellStyle name="Note 5 3 2" xfId="2012" xr:uid="{00000000-0005-0000-0000-0000D2440000}"/>
    <cellStyle name="Note 5 3 2 2" xfId="3926" xr:uid="{00000000-0005-0000-0000-0000D3440000}"/>
    <cellStyle name="Note 5 3 2 2 2" xfId="7976" xr:uid="{00000000-0005-0000-0000-0000D4440000}"/>
    <cellStyle name="Note 5 3 2 2 2 2" xfId="17434" xr:uid="{00000000-0005-0000-0000-0000D5440000}"/>
    <cellStyle name="Note 5 3 2 2 2 2 2" xfId="32266" xr:uid="{00000000-0005-0000-0000-0000D6440000}"/>
    <cellStyle name="Note 5 3 2 2 2 3" xfId="23783" xr:uid="{00000000-0005-0000-0000-0000D7440000}"/>
    <cellStyle name="Note 5 3 2 2 3" xfId="14259" xr:uid="{00000000-0005-0000-0000-0000D8440000}"/>
    <cellStyle name="Note 5 3 2 2 3 2" xfId="29091" xr:uid="{00000000-0005-0000-0000-0000D9440000}"/>
    <cellStyle name="Note 5 3 2 2 4" xfId="11049" xr:uid="{00000000-0005-0000-0000-0000DA440000}"/>
    <cellStyle name="Note 5 3 2 2 4 2" xfId="25881" xr:uid="{00000000-0005-0000-0000-0000DB440000}"/>
    <cellStyle name="Note 5 3 2 2 5" xfId="21425" xr:uid="{00000000-0005-0000-0000-0000DC440000}"/>
    <cellStyle name="Note 5 3 2 3" xfId="4980" xr:uid="{00000000-0005-0000-0000-0000DD440000}"/>
    <cellStyle name="Note 5 3 2 3 2" xfId="9019" xr:uid="{00000000-0005-0000-0000-0000DE440000}"/>
    <cellStyle name="Note 5 3 2 3 2 2" xfId="17957" xr:uid="{00000000-0005-0000-0000-0000DF440000}"/>
    <cellStyle name="Note 5 3 2 3 2 2 2" xfId="32789" xr:uid="{00000000-0005-0000-0000-0000E0440000}"/>
    <cellStyle name="Note 5 3 2 3 2 3" xfId="24485" xr:uid="{00000000-0005-0000-0000-0000E1440000}"/>
    <cellStyle name="Note 5 3 2 3 3" xfId="15302" xr:uid="{00000000-0005-0000-0000-0000E2440000}"/>
    <cellStyle name="Note 5 3 2 3 3 2" xfId="30134" xr:uid="{00000000-0005-0000-0000-0000E3440000}"/>
    <cellStyle name="Note 5 3 2 3 4" xfId="11558" xr:uid="{00000000-0005-0000-0000-0000E4440000}"/>
    <cellStyle name="Note 5 3 2 3 4 2" xfId="26390" xr:uid="{00000000-0005-0000-0000-0000E5440000}"/>
    <cellStyle name="Note 5 3 2 3 5" xfId="22011" xr:uid="{00000000-0005-0000-0000-0000E6440000}"/>
    <cellStyle name="Note 5 3 2 4" xfId="2970" xr:uid="{00000000-0005-0000-0000-0000E7440000}"/>
    <cellStyle name="Note 5 3 2 4 2" xfId="7050" xr:uid="{00000000-0005-0000-0000-0000E8440000}"/>
    <cellStyle name="Note 5 3 2 4 2 2" xfId="16849" xr:uid="{00000000-0005-0000-0000-0000E9440000}"/>
    <cellStyle name="Note 5 3 2 4 2 2 2" xfId="31681" xr:uid="{00000000-0005-0000-0000-0000EA440000}"/>
    <cellStyle name="Note 5 3 2 4 2 3" xfId="23224" xr:uid="{00000000-0005-0000-0000-0000EB440000}"/>
    <cellStyle name="Note 5 3 2 4 3" xfId="13308" xr:uid="{00000000-0005-0000-0000-0000EC440000}"/>
    <cellStyle name="Note 5 3 2 4 3 2" xfId="28140" xr:uid="{00000000-0005-0000-0000-0000ED440000}"/>
    <cellStyle name="Note 5 3 2 4 4" xfId="10504" xr:uid="{00000000-0005-0000-0000-0000EE440000}"/>
    <cellStyle name="Note 5 3 2 4 4 2" xfId="25336" xr:uid="{00000000-0005-0000-0000-0000EF440000}"/>
    <cellStyle name="Note 5 3 2 4 5" xfId="20896" xr:uid="{00000000-0005-0000-0000-0000F0440000}"/>
    <cellStyle name="Note 5 3 2 5" xfId="6142" xr:uid="{00000000-0005-0000-0000-0000F1440000}"/>
    <cellStyle name="Note 5 3 2 5 2" xfId="16329" xr:uid="{00000000-0005-0000-0000-0000F2440000}"/>
    <cellStyle name="Note 5 3 2 5 2 2" xfId="31161" xr:uid="{00000000-0005-0000-0000-0000F3440000}"/>
    <cellStyle name="Note 5 3 2 5 3" xfId="22675" xr:uid="{00000000-0005-0000-0000-0000F4440000}"/>
    <cellStyle name="Note 5 3 2 6" xfId="12399" xr:uid="{00000000-0005-0000-0000-0000F5440000}"/>
    <cellStyle name="Note 5 3 2 6 2" xfId="27231" xr:uid="{00000000-0005-0000-0000-0000F6440000}"/>
    <cellStyle name="Note 5 3 2 7" xfId="9981" xr:uid="{00000000-0005-0000-0000-0000F7440000}"/>
    <cellStyle name="Note 5 3 2 7 2" xfId="24813" xr:uid="{00000000-0005-0000-0000-0000F8440000}"/>
    <cellStyle name="Note 5 3 2 8" xfId="20354" xr:uid="{00000000-0005-0000-0000-0000F9440000}"/>
    <cellStyle name="Note 5 3 3" xfId="3226" xr:uid="{00000000-0005-0000-0000-0000FA440000}"/>
    <cellStyle name="Note 5 3 3 2" xfId="7290" xr:uid="{00000000-0005-0000-0000-0000FB440000}"/>
    <cellStyle name="Note 5 3 3 2 2" xfId="17050" xr:uid="{00000000-0005-0000-0000-0000FC440000}"/>
    <cellStyle name="Note 5 3 3 2 2 2" xfId="31882" xr:uid="{00000000-0005-0000-0000-0000FD440000}"/>
    <cellStyle name="Note 5 3 3 2 3" xfId="23333" xr:uid="{00000000-0005-0000-0000-0000FE440000}"/>
    <cellStyle name="Note 5 3 3 3" xfId="13564" xr:uid="{00000000-0005-0000-0000-0000FF440000}"/>
    <cellStyle name="Note 5 3 3 3 2" xfId="28396" xr:uid="{00000000-0005-0000-0000-000000450000}"/>
    <cellStyle name="Note 5 3 3 4" xfId="10690" xr:uid="{00000000-0005-0000-0000-000001450000}"/>
    <cellStyle name="Note 5 3 3 4 2" xfId="25522" xr:uid="{00000000-0005-0000-0000-000002450000}"/>
    <cellStyle name="Note 5 3 3 5" xfId="21022" xr:uid="{00000000-0005-0000-0000-000003450000}"/>
    <cellStyle name="Note 5 3 4" xfId="4560" xr:uid="{00000000-0005-0000-0000-000004450000}"/>
    <cellStyle name="Note 5 3 4 2" xfId="8599" xr:uid="{00000000-0005-0000-0000-000005450000}"/>
    <cellStyle name="Note 5 3 4 2 2" xfId="17717" xr:uid="{00000000-0005-0000-0000-000006450000}"/>
    <cellStyle name="Note 5 3 4 2 2 2" xfId="32549" xr:uid="{00000000-0005-0000-0000-000007450000}"/>
    <cellStyle name="Note 5 3 4 2 3" xfId="24225" xr:uid="{00000000-0005-0000-0000-000008450000}"/>
    <cellStyle name="Note 5 3 4 3" xfId="14887" xr:uid="{00000000-0005-0000-0000-000009450000}"/>
    <cellStyle name="Note 5 3 4 3 2" xfId="29719" xr:uid="{00000000-0005-0000-0000-00000A450000}"/>
    <cellStyle name="Note 5 3 4 4" xfId="11323" xr:uid="{00000000-0005-0000-0000-00000B450000}"/>
    <cellStyle name="Note 5 3 4 4 2" xfId="26155" xr:uid="{00000000-0005-0000-0000-00000C450000}"/>
    <cellStyle name="Note 5 3 4 5" xfId="21781" xr:uid="{00000000-0005-0000-0000-00000D450000}"/>
    <cellStyle name="Note 5 3 5" xfId="2550" xr:uid="{00000000-0005-0000-0000-00000E450000}"/>
    <cellStyle name="Note 5 3 5 2" xfId="6656" xr:uid="{00000000-0005-0000-0000-00000F450000}"/>
    <cellStyle name="Note 5 3 5 2 2" xfId="16614" xr:uid="{00000000-0005-0000-0000-000010450000}"/>
    <cellStyle name="Note 5 3 5 2 2 2" xfId="31446" xr:uid="{00000000-0005-0000-0000-000011450000}"/>
    <cellStyle name="Note 5 3 5 2 3" xfId="22994" xr:uid="{00000000-0005-0000-0000-000012450000}"/>
    <cellStyle name="Note 5 3 5 3" xfId="12888" xr:uid="{00000000-0005-0000-0000-000013450000}"/>
    <cellStyle name="Note 5 3 5 3 2" xfId="27720" xr:uid="{00000000-0005-0000-0000-000014450000}"/>
    <cellStyle name="Note 5 3 5 4" xfId="10264" xr:uid="{00000000-0005-0000-0000-000015450000}"/>
    <cellStyle name="Note 5 3 5 4 2" xfId="25096" xr:uid="{00000000-0005-0000-0000-000016450000}"/>
    <cellStyle name="Note 5 3 5 5" xfId="20636" xr:uid="{00000000-0005-0000-0000-000017450000}"/>
    <cellStyle name="Note 5 3 6" xfId="5673" xr:uid="{00000000-0005-0000-0000-000018450000}"/>
    <cellStyle name="Note 5 3 6 2" xfId="15908" xr:uid="{00000000-0005-0000-0000-000019450000}"/>
    <cellStyle name="Note 5 3 6 2 2" xfId="30740" xr:uid="{00000000-0005-0000-0000-00001A450000}"/>
    <cellStyle name="Note 5 3 6 3" xfId="22369" xr:uid="{00000000-0005-0000-0000-00001B450000}"/>
    <cellStyle name="Note 5 3 7" xfId="11928" xr:uid="{00000000-0005-0000-0000-00001C450000}"/>
    <cellStyle name="Note 5 3 7 2" xfId="26760" xr:uid="{00000000-0005-0000-0000-00001D450000}"/>
    <cellStyle name="Note 5 3 8" xfId="9586" xr:uid="{00000000-0005-0000-0000-00001E450000}"/>
    <cellStyle name="Note 5 3 8 2" xfId="19888" xr:uid="{00000000-0005-0000-0000-00001F450000}"/>
    <cellStyle name="Note 5 4" xfId="1570" xr:uid="{00000000-0005-0000-0000-000020450000}"/>
    <cellStyle name="Note 5 4 2" xfId="2067" xr:uid="{00000000-0005-0000-0000-000021450000}"/>
    <cellStyle name="Note 5 4 2 2" xfId="3408" xr:uid="{00000000-0005-0000-0000-000022450000}"/>
    <cellStyle name="Note 5 4 2 2 2" xfId="7471" xr:uid="{00000000-0005-0000-0000-000023450000}"/>
    <cellStyle name="Note 5 4 2 2 2 2" xfId="17170" xr:uid="{00000000-0005-0000-0000-000024450000}"/>
    <cellStyle name="Note 5 4 2 2 2 2 2" xfId="32002" xr:uid="{00000000-0005-0000-0000-000025450000}"/>
    <cellStyle name="Note 5 4 2 2 2 3" xfId="23459" xr:uid="{00000000-0005-0000-0000-000026450000}"/>
    <cellStyle name="Note 5 4 2 2 3" xfId="13745" xr:uid="{00000000-0005-0000-0000-000027450000}"/>
    <cellStyle name="Note 5 4 2 2 3 2" xfId="28577" xr:uid="{00000000-0005-0000-0000-000028450000}"/>
    <cellStyle name="Note 5 4 2 2 4" xfId="10789" xr:uid="{00000000-0005-0000-0000-000029450000}"/>
    <cellStyle name="Note 5 4 2 2 4 2" xfId="25621" xr:uid="{00000000-0005-0000-0000-00002A450000}"/>
    <cellStyle name="Note 5 4 2 2 5" xfId="21137" xr:uid="{00000000-0005-0000-0000-00002B450000}"/>
    <cellStyle name="Note 5 4 2 3" xfId="5035" xr:uid="{00000000-0005-0000-0000-00002C450000}"/>
    <cellStyle name="Note 5 4 2 3 2" xfId="9074" xr:uid="{00000000-0005-0000-0000-00002D450000}"/>
    <cellStyle name="Note 5 4 2 3 2 2" xfId="18007" xr:uid="{00000000-0005-0000-0000-00002E450000}"/>
    <cellStyle name="Note 5 4 2 3 2 2 2" xfId="32839" xr:uid="{00000000-0005-0000-0000-00002F450000}"/>
    <cellStyle name="Note 5 4 2 3 2 3" xfId="24508" xr:uid="{00000000-0005-0000-0000-000030450000}"/>
    <cellStyle name="Note 5 4 2 3 3" xfId="15356" xr:uid="{00000000-0005-0000-0000-000031450000}"/>
    <cellStyle name="Note 5 4 2 3 3 2" xfId="30188" xr:uid="{00000000-0005-0000-0000-000032450000}"/>
    <cellStyle name="Note 5 4 2 3 4" xfId="11607" xr:uid="{00000000-0005-0000-0000-000033450000}"/>
    <cellStyle name="Note 5 4 2 3 4 2" xfId="26439" xr:uid="{00000000-0005-0000-0000-000034450000}"/>
    <cellStyle name="Note 5 4 2 3 5" xfId="22028" xr:uid="{00000000-0005-0000-0000-000035450000}"/>
    <cellStyle name="Note 5 4 2 4" xfId="3025" xr:uid="{00000000-0005-0000-0000-000036450000}"/>
    <cellStyle name="Note 5 4 2 4 2" xfId="7100" xr:uid="{00000000-0005-0000-0000-000037450000}"/>
    <cellStyle name="Note 5 4 2 4 2 2" xfId="16898" xr:uid="{00000000-0005-0000-0000-000038450000}"/>
    <cellStyle name="Note 5 4 2 4 2 2 2" xfId="31730" xr:uid="{00000000-0005-0000-0000-000039450000}"/>
    <cellStyle name="Note 5 4 2 4 2 3" xfId="23241" xr:uid="{00000000-0005-0000-0000-00003A450000}"/>
    <cellStyle name="Note 5 4 2 4 3" xfId="13363" xr:uid="{00000000-0005-0000-0000-00003B450000}"/>
    <cellStyle name="Note 5 4 2 4 3 2" xfId="28195" xr:uid="{00000000-0005-0000-0000-00003C450000}"/>
    <cellStyle name="Note 5 4 2 4 4" xfId="10554" xr:uid="{00000000-0005-0000-0000-00003D450000}"/>
    <cellStyle name="Note 5 4 2 4 4 2" xfId="25386" xr:uid="{00000000-0005-0000-0000-00003E450000}"/>
    <cellStyle name="Note 5 4 2 4 5" xfId="20919" xr:uid="{00000000-0005-0000-0000-00003F450000}"/>
    <cellStyle name="Note 5 4 2 5" xfId="6192" xr:uid="{00000000-0005-0000-0000-000040450000}"/>
    <cellStyle name="Note 5 4 2 5 2" xfId="16378" xr:uid="{00000000-0005-0000-0000-000041450000}"/>
    <cellStyle name="Note 5 4 2 5 2 2" xfId="31210" xr:uid="{00000000-0005-0000-0000-000042450000}"/>
    <cellStyle name="Note 5 4 2 5 3" xfId="22692" xr:uid="{00000000-0005-0000-0000-000043450000}"/>
    <cellStyle name="Note 5 4 2 6" xfId="12448" xr:uid="{00000000-0005-0000-0000-000044450000}"/>
    <cellStyle name="Note 5 4 2 6 2" xfId="27280" xr:uid="{00000000-0005-0000-0000-000045450000}"/>
    <cellStyle name="Note 5 4 2 7" xfId="10030" xr:uid="{00000000-0005-0000-0000-000046450000}"/>
    <cellStyle name="Note 5 4 2 7 2" xfId="24862" xr:uid="{00000000-0005-0000-0000-000047450000}"/>
    <cellStyle name="Note 5 4 2 8" xfId="20371" xr:uid="{00000000-0005-0000-0000-000048450000}"/>
    <cellStyle name="Note 5 4 3" xfId="3274" xr:uid="{00000000-0005-0000-0000-000049450000}"/>
    <cellStyle name="Note 5 4 3 2" xfId="7338" xr:uid="{00000000-0005-0000-0000-00004A450000}"/>
    <cellStyle name="Note 5 4 3 2 2" xfId="17082" xr:uid="{00000000-0005-0000-0000-00004B450000}"/>
    <cellStyle name="Note 5 4 3 2 2 2" xfId="31914" xr:uid="{00000000-0005-0000-0000-00004C450000}"/>
    <cellStyle name="Note 5 4 3 2 3" xfId="23369" xr:uid="{00000000-0005-0000-0000-00004D450000}"/>
    <cellStyle name="Note 5 4 3 3" xfId="13611" xr:uid="{00000000-0005-0000-0000-00004E450000}"/>
    <cellStyle name="Note 5 4 3 3 2" xfId="28443" xr:uid="{00000000-0005-0000-0000-00004F450000}"/>
    <cellStyle name="Note 5 4 3 4" xfId="10710" xr:uid="{00000000-0005-0000-0000-000050450000}"/>
    <cellStyle name="Note 5 4 3 4 2" xfId="25542" xr:uid="{00000000-0005-0000-0000-000051450000}"/>
    <cellStyle name="Note 5 4 3 5" xfId="21056" xr:uid="{00000000-0005-0000-0000-000052450000}"/>
    <cellStyle name="Note 5 4 4" xfId="4615" xr:uid="{00000000-0005-0000-0000-000053450000}"/>
    <cellStyle name="Note 5 4 4 2" xfId="8654" xr:uid="{00000000-0005-0000-0000-000054450000}"/>
    <cellStyle name="Note 5 4 4 2 2" xfId="17767" xr:uid="{00000000-0005-0000-0000-000055450000}"/>
    <cellStyle name="Note 5 4 4 2 2 2" xfId="32599" xr:uid="{00000000-0005-0000-0000-000056450000}"/>
    <cellStyle name="Note 5 4 4 2 3" xfId="24248" xr:uid="{00000000-0005-0000-0000-000057450000}"/>
    <cellStyle name="Note 5 4 4 3" xfId="14941" xr:uid="{00000000-0005-0000-0000-000058450000}"/>
    <cellStyle name="Note 5 4 4 3 2" xfId="29773" xr:uid="{00000000-0005-0000-0000-000059450000}"/>
    <cellStyle name="Note 5 4 4 4" xfId="11372" xr:uid="{00000000-0005-0000-0000-00005A450000}"/>
    <cellStyle name="Note 5 4 4 4 2" xfId="26204" xr:uid="{00000000-0005-0000-0000-00005B450000}"/>
    <cellStyle name="Note 5 4 4 5" xfId="21798" xr:uid="{00000000-0005-0000-0000-00005C450000}"/>
    <cellStyle name="Note 5 4 5" xfId="2605" xr:uid="{00000000-0005-0000-0000-00005D450000}"/>
    <cellStyle name="Note 5 4 5 2" xfId="6706" xr:uid="{00000000-0005-0000-0000-00005E450000}"/>
    <cellStyle name="Note 5 4 5 2 2" xfId="16663" xr:uid="{00000000-0005-0000-0000-00005F450000}"/>
    <cellStyle name="Note 5 4 5 2 2 2" xfId="31495" xr:uid="{00000000-0005-0000-0000-000060450000}"/>
    <cellStyle name="Note 5 4 5 2 3" xfId="23011" xr:uid="{00000000-0005-0000-0000-000061450000}"/>
    <cellStyle name="Note 5 4 5 3" xfId="12943" xr:uid="{00000000-0005-0000-0000-000062450000}"/>
    <cellStyle name="Note 5 4 5 3 2" xfId="27775" xr:uid="{00000000-0005-0000-0000-000063450000}"/>
    <cellStyle name="Note 5 4 5 4" xfId="10314" xr:uid="{00000000-0005-0000-0000-000064450000}"/>
    <cellStyle name="Note 5 4 5 4 2" xfId="25146" xr:uid="{00000000-0005-0000-0000-000065450000}"/>
    <cellStyle name="Note 5 4 5 5" xfId="20659" xr:uid="{00000000-0005-0000-0000-000066450000}"/>
    <cellStyle name="Note 5 4 6" xfId="5722" xr:uid="{00000000-0005-0000-0000-000067450000}"/>
    <cellStyle name="Note 5 4 6 2" xfId="15957" xr:uid="{00000000-0005-0000-0000-000068450000}"/>
    <cellStyle name="Note 5 4 6 2 2" xfId="30789" xr:uid="{00000000-0005-0000-0000-000069450000}"/>
    <cellStyle name="Note 5 4 6 3" xfId="22386" xr:uid="{00000000-0005-0000-0000-00006A450000}"/>
    <cellStyle name="Note 5 4 7" xfId="11977" xr:uid="{00000000-0005-0000-0000-00006B450000}"/>
    <cellStyle name="Note 5 4 7 2" xfId="26809" xr:uid="{00000000-0005-0000-0000-00006C450000}"/>
    <cellStyle name="Note 5 4 8" xfId="9636" xr:uid="{00000000-0005-0000-0000-00006D450000}"/>
    <cellStyle name="Note 5 4 8 2" xfId="19937" xr:uid="{00000000-0005-0000-0000-00006E450000}"/>
    <cellStyle name="Note 5 5" xfId="1620" xr:uid="{00000000-0005-0000-0000-00006F450000}"/>
    <cellStyle name="Note 5 5 2" xfId="2117" xr:uid="{00000000-0005-0000-0000-000070450000}"/>
    <cellStyle name="Note 5 5 2 2" xfId="3491" xr:uid="{00000000-0005-0000-0000-000071450000}"/>
    <cellStyle name="Note 5 5 2 2 2" xfId="7553" xr:uid="{00000000-0005-0000-0000-000072450000}"/>
    <cellStyle name="Note 5 5 2 2 2 2" xfId="17214" xr:uid="{00000000-0005-0000-0000-000073450000}"/>
    <cellStyle name="Note 5 5 2 2 2 2 2" xfId="32046" xr:uid="{00000000-0005-0000-0000-000074450000}"/>
    <cellStyle name="Note 5 5 2 2 2 3" xfId="23513" xr:uid="{00000000-0005-0000-0000-000075450000}"/>
    <cellStyle name="Note 5 5 2 2 3" xfId="13828" xr:uid="{00000000-0005-0000-0000-000076450000}"/>
    <cellStyle name="Note 5 5 2 2 3 2" xfId="28660" xr:uid="{00000000-0005-0000-0000-000077450000}"/>
    <cellStyle name="Note 5 5 2 2 4" xfId="10832" xr:uid="{00000000-0005-0000-0000-000078450000}"/>
    <cellStyle name="Note 5 5 2 2 4 2" xfId="25664" xr:uid="{00000000-0005-0000-0000-000079450000}"/>
    <cellStyle name="Note 5 5 2 2 5" xfId="21188" xr:uid="{00000000-0005-0000-0000-00007A450000}"/>
    <cellStyle name="Note 5 5 2 3" xfId="5085" xr:uid="{00000000-0005-0000-0000-00007B450000}"/>
    <cellStyle name="Note 5 5 2 3 2" xfId="9124" xr:uid="{00000000-0005-0000-0000-00007C450000}"/>
    <cellStyle name="Note 5 5 2 3 2 2" xfId="18052" xr:uid="{00000000-0005-0000-0000-00007D450000}"/>
    <cellStyle name="Note 5 5 2 3 2 2 2" xfId="32884" xr:uid="{00000000-0005-0000-0000-00007E450000}"/>
    <cellStyle name="Note 5 5 2 3 2 3" xfId="24526" xr:uid="{00000000-0005-0000-0000-00007F450000}"/>
    <cellStyle name="Note 5 5 2 3 3" xfId="15405" xr:uid="{00000000-0005-0000-0000-000080450000}"/>
    <cellStyle name="Note 5 5 2 3 3 2" xfId="30237" xr:uid="{00000000-0005-0000-0000-000081450000}"/>
    <cellStyle name="Note 5 5 2 3 4" xfId="11651" xr:uid="{00000000-0005-0000-0000-000082450000}"/>
    <cellStyle name="Note 5 5 2 3 4 2" xfId="26483" xr:uid="{00000000-0005-0000-0000-000083450000}"/>
    <cellStyle name="Note 5 5 2 3 5" xfId="22040" xr:uid="{00000000-0005-0000-0000-000084450000}"/>
    <cellStyle name="Note 5 5 2 4" xfId="3075" xr:uid="{00000000-0005-0000-0000-000085450000}"/>
    <cellStyle name="Note 5 5 2 4 2" xfId="7145" xr:uid="{00000000-0005-0000-0000-000086450000}"/>
    <cellStyle name="Note 5 5 2 4 2 2" xfId="16942" xr:uid="{00000000-0005-0000-0000-000087450000}"/>
    <cellStyle name="Note 5 5 2 4 2 2 2" xfId="31774" xr:uid="{00000000-0005-0000-0000-000088450000}"/>
    <cellStyle name="Note 5 5 2 4 2 3" xfId="23253" xr:uid="{00000000-0005-0000-0000-000089450000}"/>
    <cellStyle name="Note 5 5 2 4 3" xfId="13413" xr:uid="{00000000-0005-0000-0000-00008A450000}"/>
    <cellStyle name="Note 5 5 2 4 3 2" xfId="28245" xr:uid="{00000000-0005-0000-0000-00008B450000}"/>
    <cellStyle name="Note 5 5 2 4 4" xfId="10599" xr:uid="{00000000-0005-0000-0000-00008C450000}"/>
    <cellStyle name="Note 5 5 2 4 4 2" xfId="25431" xr:uid="{00000000-0005-0000-0000-00008D450000}"/>
    <cellStyle name="Note 5 5 2 4 5" xfId="20937" xr:uid="{00000000-0005-0000-0000-00008E450000}"/>
    <cellStyle name="Note 5 5 2 5" xfId="6237" xr:uid="{00000000-0005-0000-0000-00008F450000}"/>
    <cellStyle name="Note 5 5 2 5 2" xfId="16422" xr:uid="{00000000-0005-0000-0000-000090450000}"/>
    <cellStyle name="Note 5 5 2 5 2 2" xfId="31254" xr:uid="{00000000-0005-0000-0000-000091450000}"/>
    <cellStyle name="Note 5 5 2 5 3" xfId="22704" xr:uid="{00000000-0005-0000-0000-000092450000}"/>
    <cellStyle name="Note 5 5 2 6" xfId="12492" xr:uid="{00000000-0005-0000-0000-000093450000}"/>
    <cellStyle name="Note 5 5 2 6 2" xfId="27324" xr:uid="{00000000-0005-0000-0000-000094450000}"/>
    <cellStyle name="Note 5 5 2 7" xfId="10074" xr:uid="{00000000-0005-0000-0000-000095450000}"/>
    <cellStyle name="Note 5 5 2 7 2" xfId="24906" xr:uid="{00000000-0005-0000-0000-000096450000}"/>
    <cellStyle name="Note 5 5 2 8" xfId="20383" xr:uid="{00000000-0005-0000-0000-000097450000}"/>
    <cellStyle name="Note 5 5 3" xfId="3960" xr:uid="{00000000-0005-0000-0000-000098450000}"/>
    <cellStyle name="Note 5 5 3 2" xfId="8010" xr:uid="{00000000-0005-0000-0000-000099450000}"/>
    <cellStyle name="Note 5 5 3 2 2" xfId="17451" xr:uid="{00000000-0005-0000-0000-00009A450000}"/>
    <cellStyle name="Note 5 5 3 2 2 2" xfId="32283" xr:uid="{00000000-0005-0000-0000-00009B450000}"/>
    <cellStyle name="Note 5 5 3 2 3" xfId="23804" xr:uid="{00000000-0005-0000-0000-00009C450000}"/>
    <cellStyle name="Note 5 5 3 3" xfId="14293" xr:uid="{00000000-0005-0000-0000-00009D450000}"/>
    <cellStyle name="Note 5 5 3 3 2" xfId="29125" xr:uid="{00000000-0005-0000-0000-00009E450000}"/>
    <cellStyle name="Note 5 5 3 4" xfId="11066" xr:uid="{00000000-0005-0000-0000-00009F450000}"/>
    <cellStyle name="Note 5 5 3 4 2" xfId="25898" xr:uid="{00000000-0005-0000-0000-0000A0450000}"/>
    <cellStyle name="Note 5 5 3 5" xfId="21446" xr:uid="{00000000-0005-0000-0000-0000A1450000}"/>
    <cellStyle name="Note 5 5 4" xfId="4665" xr:uid="{00000000-0005-0000-0000-0000A2450000}"/>
    <cellStyle name="Note 5 5 4 2" xfId="8704" xr:uid="{00000000-0005-0000-0000-0000A3450000}"/>
    <cellStyle name="Note 5 5 4 2 2" xfId="17812" xr:uid="{00000000-0005-0000-0000-0000A4450000}"/>
    <cellStyle name="Note 5 5 4 2 2 2" xfId="32644" xr:uid="{00000000-0005-0000-0000-0000A5450000}"/>
    <cellStyle name="Note 5 5 4 2 3" xfId="24266" xr:uid="{00000000-0005-0000-0000-0000A6450000}"/>
    <cellStyle name="Note 5 5 4 3" xfId="14990" xr:uid="{00000000-0005-0000-0000-0000A7450000}"/>
    <cellStyle name="Note 5 5 4 3 2" xfId="29822" xr:uid="{00000000-0005-0000-0000-0000A8450000}"/>
    <cellStyle name="Note 5 5 4 4" xfId="11416" xr:uid="{00000000-0005-0000-0000-0000A9450000}"/>
    <cellStyle name="Note 5 5 4 4 2" xfId="26248" xr:uid="{00000000-0005-0000-0000-0000AA450000}"/>
    <cellStyle name="Note 5 5 4 5" xfId="21810" xr:uid="{00000000-0005-0000-0000-0000AB450000}"/>
    <cellStyle name="Note 5 5 5" xfId="2655" xr:uid="{00000000-0005-0000-0000-0000AC450000}"/>
    <cellStyle name="Note 5 5 5 2" xfId="6751" xr:uid="{00000000-0005-0000-0000-0000AD450000}"/>
    <cellStyle name="Note 5 5 5 2 2" xfId="16707" xr:uid="{00000000-0005-0000-0000-0000AE450000}"/>
    <cellStyle name="Note 5 5 5 2 2 2" xfId="31539" xr:uid="{00000000-0005-0000-0000-0000AF450000}"/>
    <cellStyle name="Note 5 5 5 2 3" xfId="23023" xr:uid="{00000000-0005-0000-0000-0000B0450000}"/>
    <cellStyle name="Note 5 5 5 3" xfId="12993" xr:uid="{00000000-0005-0000-0000-0000B1450000}"/>
    <cellStyle name="Note 5 5 5 3 2" xfId="27825" xr:uid="{00000000-0005-0000-0000-0000B2450000}"/>
    <cellStyle name="Note 5 5 5 4" xfId="10359" xr:uid="{00000000-0005-0000-0000-0000B3450000}"/>
    <cellStyle name="Note 5 5 5 4 2" xfId="25191" xr:uid="{00000000-0005-0000-0000-0000B4450000}"/>
    <cellStyle name="Note 5 5 5 5" xfId="20677" xr:uid="{00000000-0005-0000-0000-0000B5450000}"/>
    <cellStyle name="Note 5 5 6" xfId="5767" xr:uid="{00000000-0005-0000-0000-0000B6450000}"/>
    <cellStyle name="Note 5 5 6 2" xfId="16001" xr:uid="{00000000-0005-0000-0000-0000B7450000}"/>
    <cellStyle name="Note 5 5 6 2 2" xfId="30833" xr:uid="{00000000-0005-0000-0000-0000B8450000}"/>
    <cellStyle name="Note 5 5 6 3" xfId="22398" xr:uid="{00000000-0005-0000-0000-0000B9450000}"/>
    <cellStyle name="Note 5 5 7" xfId="12021" xr:uid="{00000000-0005-0000-0000-0000BA450000}"/>
    <cellStyle name="Note 5 5 7 2" xfId="26853" xr:uid="{00000000-0005-0000-0000-0000BB450000}"/>
    <cellStyle name="Note 5 5 8" xfId="9681" xr:uid="{00000000-0005-0000-0000-0000BC450000}"/>
    <cellStyle name="Note 5 5 8 2" xfId="19981" xr:uid="{00000000-0005-0000-0000-0000BD450000}"/>
    <cellStyle name="Note 5 6" xfId="1771" xr:uid="{00000000-0005-0000-0000-0000BE450000}"/>
    <cellStyle name="Note 5 6 2" xfId="4134" xr:uid="{00000000-0005-0000-0000-0000BF450000}"/>
    <cellStyle name="Note 5 6 2 2" xfId="8178" xr:uid="{00000000-0005-0000-0000-0000C0450000}"/>
    <cellStyle name="Note 5 6 2 2 2" xfId="17536" xr:uid="{00000000-0005-0000-0000-0000C1450000}"/>
    <cellStyle name="Note 5 6 2 2 2 2" xfId="32368" xr:uid="{00000000-0005-0000-0000-0000C2450000}"/>
    <cellStyle name="Note 5 6 2 2 3" xfId="23909" xr:uid="{00000000-0005-0000-0000-0000C3450000}"/>
    <cellStyle name="Note 5 6 2 3" xfId="14466" xr:uid="{00000000-0005-0000-0000-0000C4450000}"/>
    <cellStyle name="Note 5 6 2 3 2" xfId="29298" xr:uid="{00000000-0005-0000-0000-0000C5450000}"/>
    <cellStyle name="Note 5 6 2 4" xfId="11154" xr:uid="{00000000-0005-0000-0000-0000C6450000}"/>
    <cellStyle name="Note 5 6 2 4 2" xfId="25986" xr:uid="{00000000-0005-0000-0000-0000C7450000}"/>
    <cellStyle name="Note 5 6 2 5" xfId="21536" xr:uid="{00000000-0005-0000-0000-0000C8450000}"/>
    <cellStyle name="Note 5 6 3" xfId="4749" xr:uid="{00000000-0005-0000-0000-0000C9450000}"/>
    <cellStyle name="Note 5 6 3 2" xfId="8788" xr:uid="{00000000-0005-0000-0000-0000CA450000}"/>
    <cellStyle name="Note 5 6 3 2 2" xfId="17860" xr:uid="{00000000-0005-0000-0000-0000CB450000}"/>
    <cellStyle name="Note 5 6 3 2 2 2" xfId="32692" xr:uid="{00000000-0005-0000-0000-0000CC450000}"/>
    <cellStyle name="Note 5 6 3 2 3" xfId="24318" xr:uid="{00000000-0005-0000-0000-0000CD450000}"/>
    <cellStyle name="Note 5 6 3 3" xfId="15073" xr:uid="{00000000-0005-0000-0000-0000CE450000}"/>
    <cellStyle name="Note 5 6 3 3 2" xfId="29905" xr:uid="{00000000-0005-0000-0000-0000CF450000}"/>
    <cellStyle name="Note 5 6 3 4" xfId="11463" xr:uid="{00000000-0005-0000-0000-0000D0450000}"/>
    <cellStyle name="Note 5 6 3 4 2" xfId="26295" xr:uid="{00000000-0005-0000-0000-0000D1450000}"/>
    <cellStyle name="Note 5 6 3 5" xfId="21856" xr:uid="{00000000-0005-0000-0000-0000D2450000}"/>
    <cellStyle name="Note 5 6 4" xfId="2739" xr:uid="{00000000-0005-0000-0000-0000D3450000}"/>
    <cellStyle name="Note 5 6 4 2" xfId="6830" xr:uid="{00000000-0005-0000-0000-0000D4450000}"/>
    <cellStyle name="Note 5 6 4 2 2" xfId="16754" xr:uid="{00000000-0005-0000-0000-0000D5450000}"/>
    <cellStyle name="Note 5 6 4 2 2 2" xfId="31586" xr:uid="{00000000-0005-0000-0000-0000D6450000}"/>
    <cellStyle name="Note 5 6 4 2 3" xfId="23069" xr:uid="{00000000-0005-0000-0000-0000D7450000}"/>
    <cellStyle name="Note 5 6 4 3" xfId="13077" xr:uid="{00000000-0005-0000-0000-0000D8450000}"/>
    <cellStyle name="Note 5 6 4 3 2" xfId="27909" xr:uid="{00000000-0005-0000-0000-0000D9450000}"/>
    <cellStyle name="Note 5 6 4 4" xfId="10407" xr:uid="{00000000-0005-0000-0000-0000DA450000}"/>
    <cellStyle name="Note 5 6 4 4 2" xfId="25239" xr:uid="{00000000-0005-0000-0000-0000DB450000}"/>
    <cellStyle name="Note 5 6 4 5" xfId="20729" xr:uid="{00000000-0005-0000-0000-0000DC450000}"/>
    <cellStyle name="Note 5 6 5" xfId="5903" xr:uid="{00000000-0005-0000-0000-0000DD450000}"/>
    <cellStyle name="Note 5 6 5 2" xfId="16095" xr:uid="{00000000-0005-0000-0000-0000DE450000}"/>
    <cellStyle name="Note 5 6 5 2 2" xfId="30927" xr:uid="{00000000-0005-0000-0000-0000DF450000}"/>
    <cellStyle name="Note 5 6 5 3" xfId="22500" xr:uid="{00000000-0005-0000-0000-0000E0450000}"/>
    <cellStyle name="Note 5 6 6" xfId="12165" xr:uid="{00000000-0005-0000-0000-0000E1450000}"/>
    <cellStyle name="Note 5 6 6 2" xfId="26997" xr:uid="{00000000-0005-0000-0000-0000E2450000}"/>
    <cellStyle name="Note 5 6 7" xfId="9761" xr:uid="{00000000-0005-0000-0000-0000E3450000}"/>
    <cellStyle name="Note 5 6 7 2" xfId="24718" xr:uid="{00000000-0005-0000-0000-0000E4450000}"/>
    <cellStyle name="Note 5 6 8" xfId="20308" xr:uid="{00000000-0005-0000-0000-0000E5450000}"/>
    <cellStyle name="Note 5 7" xfId="2195" xr:uid="{00000000-0005-0000-0000-0000E6450000}"/>
    <cellStyle name="Note 5 7 2" xfId="3806" xr:uid="{00000000-0005-0000-0000-0000E7450000}"/>
    <cellStyle name="Note 5 7 2 2" xfId="7861" xr:uid="{00000000-0005-0000-0000-0000E8450000}"/>
    <cellStyle name="Note 5 7 2 2 2" xfId="17374" xr:uid="{00000000-0005-0000-0000-0000E9450000}"/>
    <cellStyle name="Note 5 7 2 2 2 2" xfId="32206" xr:uid="{00000000-0005-0000-0000-0000EA450000}"/>
    <cellStyle name="Note 5 7 2 2 3" xfId="23712" xr:uid="{00000000-0005-0000-0000-0000EB450000}"/>
    <cellStyle name="Note 5 7 2 3" xfId="14141" xr:uid="{00000000-0005-0000-0000-0000EC450000}"/>
    <cellStyle name="Note 5 7 2 3 2" xfId="28973" xr:uid="{00000000-0005-0000-0000-0000ED450000}"/>
    <cellStyle name="Note 5 7 2 4" xfId="10991" xr:uid="{00000000-0005-0000-0000-0000EE450000}"/>
    <cellStyle name="Note 5 7 2 4 2" xfId="25823" xr:uid="{00000000-0005-0000-0000-0000EF450000}"/>
    <cellStyle name="Note 5 7 2 5" xfId="21363" xr:uid="{00000000-0005-0000-0000-0000F0450000}"/>
    <cellStyle name="Note 5 7 3" xfId="5163" xr:uid="{00000000-0005-0000-0000-0000F1450000}"/>
    <cellStyle name="Note 5 7 3 2" xfId="9202" xr:uid="{00000000-0005-0000-0000-0000F2450000}"/>
    <cellStyle name="Note 5 7 3 2 2" xfId="18125" xr:uid="{00000000-0005-0000-0000-0000F3450000}"/>
    <cellStyle name="Note 5 7 3 2 2 2" xfId="32957" xr:uid="{00000000-0005-0000-0000-0000F4450000}"/>
    <cellStyle name="Note 5 7 3 2 3" xfId="24540" xr:uid="{00000000-0005-0000-0000-0000F5450000}"/>
    <cellStyle name="Note 5 7 3 3" xfId="15481" xr:uid="{00000000-0005-0000-0000-0000F6450000}"/>
    <cellStyle name="Note 5 7 3 3 2" xfId="30313" xr:uid="{00000000-0005-0000-0000-0000F7450000}"/>
    <cellStyle name="Note 5 7 3 4" xfId="11722" xr:uid="{00000000-0005-0000-0000-0000F8450000}"/>
    <cellStyle name="Note 5 7 3 4 2" xfId="26554" xr:uid="{00000000-0005-0000-0000-0000F9450000}"/>
    <cellStyle name="Note 5 7 3 5" xfId="22047" xr:uid="{00000000-0005-0000-0000-0000FA450000}"/>
    <cellStyle name="Note 5 7 4" xfId="4193" xr:uid="{00000000-0005-0000-0000-0000FB450000}"/>
    <cellStyle name="Note 5 7 4 2" xfId="8234" xr:uid="{00000000-0005-0000-0000-0000FC450000}"/>
    <cellStyle name="Note 5 7 4 2 2" xfId="17581" xr:uid="{00000000-0005-0000-0000-0000FD450000}"/>
    <cellStyle name="Note 5 7 4 2 2 2" xfId="32413" xr:uid="{00000000-0005-0000-0000-0000FE450000}"/>
    <cellStyle name="Note 5 7 4 2 3" xfId="23929" xr:uid="{00000000-0005-0000-0000-0000FF450000}"/>
    <cellStyle name="Note 5 7 4 3" xfId="14525" xr:uid="{00000000-0005-0000-0000-000000460000}"/>
    <cellStyle name="Note 5 7 4 3 2" xfId="29357" xr:uid="{00000000-0005-0000-0000-000001460000}"/>
    <cellStyle name="Note 5 7 4 4" xfId="11201" xr:uid="{00000000-0005-0000-0000-000002460000}"/>
    <cellStyle name="Note 5 7 4 4 2" xfId="26033" xr:uid="{00000000-0005-0000-0000-000003460000}"/>
    <cellStyle name="Note 5 7 4 5" xfId="21554" xr:uid="{00000000-0005-0000-0000-000004460000}"/>
    <cellStyle name="Note 5 7 5" xfId="6309" xr:uid="{00000000-0005-0000-0000-000005460000}"/>
    <cellStyle name="Note 5 7 5 2" xfId="16493" xr:uid="{00000000-0005-0000-0000-000006460000}"/>
    <cellStyle name="Note 5 7 5 2 2" xfId="31325" xr:uid="{00000000-0005-0000-0000-000007460000}"/>
    <cellStyle name="Note 5 7 5 3" xfId="22711" xr:uid="{00000000-0005-0000-0000-000008460000}"/>
    <cellStyle name="Note 5 7 6" xfId="12563" xr:uid="{00000000-0005-0000-0000-000009460000}"/>
    <cellStyle name="Note 5 7 6 2" xfId="27395" xr:uid="{00000000-0005-0000-0000-00000A460000}"/>
    <cellStyle name="Note 5 7 7" xfId="10145" xr:uid="{00000000-0005-0000-0000-00000B460000}"/>
    <cellStyle name="Note 5 7 7 2" xfId="24977" xr:uid="{00000000-0005-0000-0000-00000C460000}"/>
    <cellStyle name="Note 5 7 8" xfId="20390" xr:uid="{00000000-0005-0000-0000-00000D460000}"/>
    <cellStyle name="Note 5 8" xfId="3276" xr:uid="{00000000-0005-0000-0000-00000E460000}"/>
    <cellStyle name="Note 5 8 2" xfId="7340" xr:uid="{00000000-0005-0000-0000-00000F460000}"/>
    <cellStyle name="Note 5 8 2 2" xfId="17084" xr:uid="{00000000-0005-0000-0000-000010460000}"/>
    <cellStyle name="Note 5 8 2 2 2" xfId="31916" xr:uid="{00000000-0005-0000-0000-000011460000}"/>
    <cellStyle name="Note 5 8 2 3" xfId="23371" xr:uid="{00000000-0005-0000-0000-000012460000}"/>
    <cellStyle name="Note 5 8 3" xfId="13613" xr:uid="{00000000-0005-0000-0000-000013460000}"/>
    <cellStyle name="Note 5 8 3 2" xfId="28445" xr:uid="{00000000-0005-0000-0000-000014460000}"/>
    <cellStyle name="Note 5 8 4" xfId="10712" xr:uid="{00000000-0005-0000-0000-000015460000}"/>
    <cellStyle name="Note 5 8 4 2" xfId="25544" xr:uid="{00000000-0005-0000-0000-000016460000}"/>
    <cellStyle name="Note 5 8 5" xfId="21058" xr:uid="{00000000-0005-0000-0000-000017460000}"/>
    <cellStyle name="Note 5 9" xfId="3247" xr:uid="{00000000-0005-0000-0000-000018460000}"/>
    <cellStyle name="Note 5 9 2" xfId="7311" xr:uid="{00000000-0005-0000-0000-000019460000}"/>
    <cellStyle name="Note 5 9 2 2" xfId="17066" xr:uid="{00000000-0005-0000-0000-00001A460000}"/>
    <cellStyle name="Note 5 9 2 2 2" xfId="31898" xr:uid="{00000000-0005-0000-0000-00001B460000}"/>
    <cellStyle name="Note 5 9 2 3" xfId="23350" xr:uid="{00000000-0005-0000-0000-00001C460000}"/>
    <cellStyle name="Note 5 9 3" xfId="13584" xr:uid="{00000000-0005-0000-0000-00001D460000}"/>
    <cellStyle name="Note 5 9 3 2" xfId="28416" xr:uid="{00000000-0005-0000-0000-00001E460000}"/>
    <cellStyle name="Note 5 9 4" xfId="10698" xr:uid="{00000000-0005-0000-0000-00001F460000}"/>
    <cellStyle name="Note 5 9 4 2" xfId="25530" xr:uid="{00000000-0005-0000-0000-000020460000}"/>
    <cellStyle name="Note 5 9 5" xfId="21037" xr:uid="{00000000-0005-0000-0000-000021460000}"/>
    <cellStyle name="Note 6" xfId="1227" xr:uid="{00000000-0005-0000-0000-000022460000}"/>
    <cellStyle name="Note 6 10" xfId="2313" xr:uid="{00000000-0005-0000-0000-000023460000}"/>
    <cellStyle name="Note 6 10 2" xfId="6425" xr:uid="{00000000-0005-0000-0000-000024460000}"/>
    <cellStyle name="Note 6 10 2 2" xfId="16518" xr:uid="{00000000-0005-0000-0000-000025460000}"/>
    <cellStyle name="Note 6 10 2 2 2" xfId="31350" xr:uid="{00000000-0005-0000-0000-000026460000}"/>
    <cellStyle name="Note 6 10 2 3" xfId="22827" xr:uid="{00000000-0005-0000-0000-000027460000}"/>
    <cellStyle name="Note 6 10 3" xfId="12653" xr:uid="{00000000-0005-0000-0000-000028460000}"/>
    <cellStyle name="Note 6 10 3 2" xfId="27485" xr:uid="{00000000-0005-0000-0000-000029460000}"/>
    <cellStyle name="Note 6 10 4" xfId="10169" xr:uid="{00000000-0005-0000-0000-00002A460000}"/>
    <cellStyle name="Note 6 10 4 2" xfId="25001" xr:uid="{00000000-0005-0000-0000-00002B460000}"/>
    <cellStyle name="Note 6 10 5" xfId="20476" xr:uid="{00000000-0005-0000-0000-00002C460000}"/>
    <cellStyle name="Note 6 11" xfId="5276" xr:uid="{00000000-0005-0000-0000-00002D460000}"/>
    <cellStyle name="Note 6 11 2" xfId="9284" xr:uid="{00000000-0005-0000-0000-00002E460000}"/>
    <cellStyle name="Note 6 11 2 2" xfId="18151" xr:uid="{00000000-0005-0000-0000-00002F460000}"/>
    <cellStyle name="Note 6 11 2 2 2" xfId="32983" xr:uid="{00000000-0005-0000-0000-000030460000}"/>
    <cellStyle name="Note 6 11 2 3" xfId="24622" xr:uid="{00000000-0005-0000-0000-000031460000}"/>
    <cellStyle name="Note 6 11 3" xfId="15592" xr:uid="{00000000-0005-0000-0000-000032460000}"/>
    <cellStyle name="Note 6 11 3 2" xfId="30424" xr:uid="{00000000-0005-0000-0000-000033460000}"/>
    <cellStyle name="Note 6 11 4" xfId="22133" xr:uid="{00000000-0005-0000-0000-000034460000}"/>
    <cellStyle name="Note 6 12" xfId="5434" xr:uid="{00000000-0005-0000-0000-000035460000}"/>
    <cellStyle name="Note 6 12 2" xfId="15670" xr:uid="{00000000-0005-0000-0000-000036460000}"/>
    <cellStyle name="Note 6 12 2 2" xfId="30502" xr:uid="{00000000-0005-0000-0000-000037460000}"/>
    <cellStyle name="Note 6 12 3" xfId="22195" xr:uid="{00000000-0005-0000-0000-000038460000}"/>
    <cellStyle name="Note 6 13" xfId="9357" xr:uid="{00000000-0005-0000-0000-000039460000}"/>
    <cellStyle name="Note 6 13 2" xfId="24663" xr:uid="{00000000-0005-0000-0000-00003A460000}"/>
    <cellStyle name="Note 6 14" xfId="5346" xr:uid="{00000000-0005-0000-0000-00003B460000}"/>
    <cellStyle name="Note 6 14 2" xfId="18220" xr:uid="{00000000-0005-0000-0000-00003C460000}"/>
    <cellStyle name="Note 6 2" xfId="1346" xr:uid="{00000000-0005-0000-0000-00003D460000}"/>
    <cellStyle name="Note 6 2 2" xfId="1850" xr:uid="{00000000-0005-0000-0000-00003E460000}"/>
    <cellStyle name="Note 6 2 2 2" xfId="4099" xr:uid="{00000000-0005-0000-0000-00003F460000}"/>
    <cellStyle name="Note 6 2 2 2 2" xfId="8145" xr:uid="{00000000-0005-0000-0000-000040460000}"/>
    <cellStyle name="Note 6 2 2 2 2 2" xfId="17517" xr:uid="{00000000-0005-0000-0000-000041460000}"/>
    <cellStyle name="Note 6 2 2 2 2 2 2" xfId="32349" xr:uid="{00000000-0005-0000-0000-000042460000}"/>
    <cellStyle name="Note 6 2 2 2 2 3" xfId="23890" xr:uid="{00000000-0005-0000-0000-000043460000}"/>
    <cellStyle name="Note 6 2 2 2 3" xfId="14431" xr:uid="{00000000-0005-0000-0000-000044460000}"/>
    <cellStyle name="Note 6 2 2 2 3 2" xfId="29263" xr:uid="{00000000-0005-0000-0000-000045460000}"/>
    <cellStyle name="Note 6 2 2 2 4" xfId="11134" xr:uid="{00000000-0005-0000-0000-000046460000}"/>
    <cellStyle name="Note 6 2 2 2 4 2" xfId="25966" xr:uid="{00000000-0005-0000-0000-000047460000}"/>
    <cellStyle name="Note 6 2 2 2 5" xfId="21520" xr:uid="{00000000-0005-0000-0000-000048460000}"/>
    <cellStyle name="Note 6 2 2 3" xfId="4828" xr:uid="{00000000-0005-0000-0000-000049460000}"/>
    <cellStyle name="Note 6 2 2 3 2" xfId="8867" xr:uid="{00000000-0005-0000-0000-00004A460000}"/>
    <cellStyle name="Note 6 2 2 3 2 2" xfId="17908" xr:uid="{00000000-0005-0000-0000-00004B460000}"/>
    <cellStyle name="Note 6 2 2 3 2 2 2" xfId="32740" xr:uid="{00000000-0005-0000-0000-00004C460000}"/>
    <cellStyle name="Note 6 2 2 3 2 3" xfId="24365" xr:uid="{00000000-0005-0000-0000-00004D460000}"/>
    <cellStyle name="Note 6 2 2 3 3" xfId="15152" xr:uid="{00000000-0005-0000-0000-00004E460000}"/>
    <cellStyle name="Note 6 2 2 3 3 2" xfId="29984" xr:uid="{00000000-0005-0000-0000-00004F460000}"/>
    <cellStyle name="Note 6 2 2 3 4" xfId="11511" xr:uid="{00000000-0005-0000-0000-000050460000}"/>
    <cellStyle name="Note 6 2 2 3 4 2" xfId="26343" xr:uid="{00000000-0005-0000-0000-000051460000}"/>
    <cellStyle name="Note 6 2 2 3 5" xfId="21903" xr:uid="{00000000-0005-0000-0000-000052460000}"/>
    <cellStyle name="Note 6 2 2 4" xfId="2818" xr:uid="{00000000-0005-0000-0000-000053460000}"/>
    <cellStyle name="Note 6 2 2 4 2" xfId="6909" xr:uid="{00000000-0005-0000-0000-000054460000}"/>
    <cellStyle name="Note 6 2 2 4 2 2" xfId="16802" xr:uid="{00000000-0005-0000-0000-000055460000}"/>
    <cellStyle name="Note 6 2 2 4 2 2 2" xfId="31634" xr:uid="{00000000-0005-0000-0000-000056460000}"/>
    <cellStyle name="Note 6 2 2 4 2 3" xfId="23116" xr:uid="{00000000-0005-0000-0000-000057460000}"/>
    <cellStyle name="Note 6 2 2 4 3" xfId="13156" xr:uid="{00000000-0005-0000-0000-000058460000}"/>
    <cellStyle name="Note 6 2 2 4 3 2" xfId="27988" xr:uid="{00000000-0005-0000-0000-000059460000}"/>
    <cellStyle name="Note 6 2 2 4 4" xfId="10455" xr:uid="{00000000-0005-0000-0000-00005A460000}"/>
    <cellStyle name="Note 6 2 2 4 4 2" xfId="25287" xr:uid="{00000000-0005-0000-0000-00005B460000}"/>
    <cellStyle name="Note 6 2 2 4 5" xfId="20776" xr:uid="{00000000-0005-0000-0000-00005C460000}"/>
    <cellStyle name="Note 6 2 2 5" xfId="5982" xr:uid="{00000000-0005-0000-0000-00005D460000}"/>
    <cellStyle name="Note 6 2 2 5 2" xfId="16174" xr:uid="{00000000-0005-0000-0000-00005E460000}"/>
    <cellStyle name="Note 6 2 2 5 2 2" xfId="31006" xr:uid="{00000000-0005-0000-0000-00005F460000}"/>
    <cellStyle name="Note 6 2 2 5 3" xfId="22547" xr:uid="{00000000-0005-0000-0000-000060460000}"/>
    <cellStyle name="Note 6 2 2 6" xfId="12244" xr:uid="{00000000-0005-0000-0000-000061460000}"/>
    <cellStyle name="Note 6 2 2 6 2" xfId="27076" xr:uid="{00000000-0005-0000-0000-000062460000}"/>
    <cellStyle name="Note 6 2 2 7" xfId="9840" xr:uid="{00000000-0005-0000-0000-000063460000}"/>
    <cellStyle name="Note 6 2 2 7 2" xfId="24766" xr:uid="{00000000-0005-0000-0000-000064460000}"/>
    <cellStyle name="Note 6 2 2 8" xfId="20324" xr:uid="{00000000-0005-0000-0000-000065460000}"/>
    <cellStyle name="Note 6 2 3" xfId="3793" xr:uid="{00000000-0005-0000-0000-000066460000}"/>
    <cellStyle name="Note 6 2 3 2" xfId="7848" xr:uid="{00000000-0005-0000-0000-000067460000}"/>
    <cellStyle name="Note 6 2 3 2 2" xfId="17367" xr:uid="{00000000-0005-0000-0000-000068460000}"/>
    <cellStyle name="Note 6 2 3 2 2 2" xfId="32199" xr:uid="{00000000-0005-0000-0000-000069460000}"/>
    <cellStyle name="Note 6 2 3 2 3" xfId="23703" xr:uid="{00000000-0005-0000-0000-00006A460000}"/>
    <cellStyle name="Note 6 2 3 3" xfId="14128" xr:uid="{00000000-0005-0000-0000-00006B460000}"/>
    <cellStyle name="Note 6 2 3 3 2" xfId="28960" xr:uid="{00000000-0005-0000-0000-00006C460000}"/>
    <cellStyle name="Note 6 2 3 4" xfId="10984" xr:uid="{00000000-0005-0000-0000-00006D460000}"/>
    <cellStyle name="Note 6 2 3 4 2" xfId="25816" xr:uid="{00000000-0005-0000-0000-00006E460000}"/>
    <cellStyle name="Note 6 2 3 5" xfId="21355" xr:uid="{00000000-0005-0000-0000-00006F460000}"/>
    <cellStyle name="Note 6 2 4" xfId="4408" xr:uid="{00000000-0005-0000-0000-000070460000}"/>
    <cellStyle name="Note 6 2 4 2" xfId="8447" xr:uid="{00000000-0005-0000-0000-000071460000}"/>
    <cellStyle name="Note 6 2 4 2 2" xfId="17668" xr:uid="{00000000-0005-0000-0000-000072460000}"/>
    <cellStyle name="Note 6 2 4 2 2 2" xfId="32500" xr:uid="{00000000-0005-0000-0000-000073460000}"/>
    <cellStyle name="Note 6 2 4 2 3" xfId="24105" xr:uid="{00000000-0005-0000-0000-000074460000}"/>
    <cellStyle name="Note 6 2 4 3" xfId="14737" xr:uid="{00000000-0005-0000-0000-000075460000}"/>
    <cellStyle name="Note 6 2 4 3 2" xfId="29569" xr:uid="{00000000-0005-0000-0000-000076460000}"/>
    <cellStyle name="Note 6 2 4 4" xfId="11276" xr:uid="{00000000-0005-0000-0000-000077460000}"/>
    <cellStyle name="Note 6 2 4 4 2" xfId="26108" xr:uid="{00000000-0005-0000-0000-000078460000}"/>
    <cellStyle name="Note 6 2 4 5" xfId="21673" xr:uid="{00000000-0005-0000-0000-000079460000}"/>
    <cellStyle name="Note 6 2 5" xfId="2398" xr:uid="{00000000-0005-0000-0000-00007A460000}"/>
    <cellStyle name="Note 6 2 5 2" xfId="6510" xr:uid="{00000000-0005-0000-0000-00007B460000}"/>
    <cellStyle name="Note 6 2 5 2 2" xfId="16566" xr:uid="{00000000-0005-0000-0000-00007C460000}"/>
    <cellStyle name="Note 6 2 5 2 2 2" xfId="31398" xr:uid="{00000000-0005-0000-0000-00007D460000}"/>
    <cellStyle name="Note 6 2 5 2 3" xfId="22880" xr:uid="{00000000-0005-0000-0000-00007E460000}"/>
    <cellStyle name="Note 6 2 5 3" xfId="12737" xr:uid="{00000000-0005-0000-0000-00007F460000}"/>
    <cellStyle name="Note 6 2 5 3 2" xfId="27569" xr:uid="{00000000-0005-0000-0000-000080460000}"/>
    <cellStyle name="Note 6 2 5 4" xfId="10216" xr:uid="{00000000-0005-0000-0000-000081460000}"/>
    <cellStyle name="Note 6 2 5 4 2" xfId="25048" xr:uid="{00000000-0005-0000-0000-000082460000}"/>
    <cellStyle name="Note 6 2 5 5" xfId="20522" xr:uid="{00000000-0005-0000-0000-000083460000}"/>
    <cellStyle name="Note 6 2 6" xfId="5523" xr:uid="{00000000-0005-0000-0000-000084460000}"/>
    <cellStyle name="Note 6 2 6 2" xfId="15758" xr:uid="{00000000-0005-0000-0000-000085460000}"/>
    <cellStyle name="Note 6 2 6 2 2" xfId="30590" xr:uid="{00000000-0005-0000-0000-000086460000}"/>
    <cellStyle name="Note 6 2 6 3" xfId="22251" xr:uid="{00000000-0005-0000-0000-000087460000}"/>
    <cellStyle name="Note 6 2 7" xfId="11773" xr:uid="{00000000-0005-0000-0000-000088460000}"/>
    <cellStyle name="Note 6 2 7 2" xfId="26605" xr:uid="{00000000-0005-0000-0000-000089460000}"/>
    <cellStyle name="Note 6 2 8" xfId="9444" xr:uid="{00000000-0005-0000-0000-00008A460000}"/>
    <cellStyle name="Note 6 2 8 2" xfId="19748" xr:uid="{00000000-0005-0000-0000-00008B460000}"/>
    <cellStyle name="Note 6 3" xfId="1516" xr:uid="{00000000-0005-0000-0000-00008C460000}"/>
    <cellStyle name="Note 6 3 2" xfId="2013" xr:uid="{00000000-0005-0000-0000-00008D460000}"/>
    <cellStyle name="Note 6 3 2 2" xfId="4136" xr:uid="{00000000-0005-0000-0000-00008E460000}"/>
    <cellStyle name="Note 6 3 2 2 2" xfId="8180" xr:uid="{00000000-0005-0000-0000-00008F460000}"/>
    <cellStyle name="Note 6 3 2 2 2 2" xfId="17537" xr:uid="{00000000-0005-0000-0000-000090460000}"/>
    <cellStyle name="Note 6 3 2 2 2 2 2" xfId="32369" xr:uid="{00000000-0005-0000-0000-000091460000}"/>
    <cellStyle name="Note 6 3 2 2 2 3" xfId="23911" xr:uid="{00000000-0005-0000-0000-000092460000}"/>
    <cellStyle name="Note 6 3 2 2 3" xfId="14468" xr:uid="{00000000-0005-0000-0000-000093460000}"/>
    <cellStyle name="Note 6 3 2 2 3 2" xfId="29300" xr:uid="{00000000-0005-0000-0000-000094460000}"/>
    <cellStyle name="Note 6 3 2 2 4" xfId="11155" xr:uid="{00000000-0005-0000-0000-000095460000}"/>
    <cellStyle name="Note 6 3 2 2 4 2" xfId="25987" xr:uid="{00000000-0005-0000-0000-000096460000}"/>
    <cellStyle name="Note 6 3 2 2 5" xfId="21538" xr:uid="{00000000-0005-0000-0000-000097460000}"/>
    <cellStyle name="Note 6 3 2 3" xfId="4981" xr:uid="{00000000-0005-0000-0000-000098460000}"/>
    <cellStyle name="Note 6 3 2 3 2" xfId="9020" xr:uid="{00000000-0005-0000-0000-000099460000}"/>
    <cellStyle name="Note 6 3 2 3 2 2" xfId="17958" xr:uid="{00000000-0005-0000-0000-00009A460000}"/>
    <cellStyle name="Note 6 3 2 3 2 2 2" xfId="32790" xr:uid="{00000000-0005-0000-0000-00009B460000}"/>
    <cellStyle name="Note 6 3 2 3 2 3" xfId="24486" xr:uid="{00000000-0005-0000-0000-00009C460000}"/>
    <cellStyle name="Note 6 3 2 3 3" xfId="15303" xr:uid="{00000000-0005-0000-0000-00009D460000}"/>
    <cellStyle name="Note 6 3 2 3 3 2" xfId="30135" xr:uid="{00000000-0005-0000-0000-00009E460000}"/>
    <cellStyle name="Note 6 3 2 3 4" xfId="11559" xr:uid="{00000000-0005-0000-0000-00009F460000}"/>
    <cellStyle name="Note 6 3 2 3 4 2" xfId="26391" xr:uid="{00000000-0005-0000-0000-0000A0460000}"/>
    <cellStyle name="Note 6 3 2 3 5" xfId="22012" xr:uid="{00000000-0005-0000-0000-0000A1460000}"/>
    <cellStyle name="Note 6 3 2 4" xfId="2971" xr:uid="{00000000-0005-0000-0000-0000A2460000}"/>
    <cellStyle name="Note 6 3 2 4 2" xfId="7051" xr:uid="{00000000-0005-0000-0000-0000A3460000}"/>
    <cellStyle name="Note 6 3 2 4 2 2" xfId="16850" xr:uid="{00000000-0005-0000-0000-0000A4460000}"/>
    <cellStyle name="Note 6 3 2 4 2 2 2" xfId="31682" xr:uid="{00000000-0005-0000-0000-0000A5460000}"/>
    <cellStyle name="Note 6 3 2 4 2 3" xfId="23225" xr:uid="{00000000-0005-0000-0000-0000A6460000}"/>
    <cellStyle name="Note 6 3 2 4 3" xfId="13309" xr:uid="{00000000-0005-0000-0000-0000A7460000}"/>
    <cellStyle name="Note 6 3 2 4 3 2" xfId="28141" xr:uid="{00000000-0005-0000-0000-0000A8460000}"/>
    <cellStyle name="Note 6 3 2 4 4" xfId="10505" xr:uid="{00000000-0005-0000-0000-0000A9460000}"/>
    <cellStyle name="Note 6 3 2 4 4 2" xfId="25337" xr:uid="{00000000-0005-0000-0000-0000AA460000}"/>
    <cellStyle name="Note 6 3 2 4 5" xfId="20897" xr:uid="{00000000-0005-0000-0000-0000AB460000}"/>
    <cellStyle name="Note 6 3 2 5" xfId="6143" xr:uid="{00000000-0005-0000-0000-0000AC460000}"/>
    <cellStyle name="Note 6 3 2 5 2" xfId="16330" xr:uid="{00000000-0005-0000-0000-0000AD460000}"/>
    <cellStyle name="Note 6 3 2 5 2 2" xfId="31162" xr:uid="{00000000-0005-0000-0000-0000AE460000}"/>
    <cellStyle name="Note 6 3 2 5 3" xfId="22676" xr:uid="{00000000-0005-0000-0000-0000AF460000}"/>
    <cellStyle name="Note 6 3 2 6" xfId="12400" xr:uid="{00000000-0005-0000-0000-0000B0460000}"/>
    <cellStyle name="Note 6 3 2 6 2" xfId="27232" xr:uid="{00000000-0005-0000-0000-0000B1460000}"/>
    <cellStyle name="Note 6 3 2 7" xfId="9982" xr:uid="{00000000-0005-0000-0000-0000B2460000}"/>
    <cellStyle name="Note 6 3 2 7 2" xfId="24814" xr:uid="{00000000-0005-0000-0000-0000B3460000}"/>
    <cellStyle name="Note 6 3 2 8" xfId="20355" xr:uid="{00000000-0005-0000-0000-0000B4460000}"/>
    <cellStyle name="Note 6 3 3" xfId="3165" xr:uid="{00000000-0005-0000-0000-0000B5460000}"/>
    <cellStyle name="Note 6 3 3 2" xfId="7229" xr:uid="{00000000-0005-0000-0000-0000B6460000}"/>
    <cellStyle name="Note 6 3 3 2 2" xfId="17005" xr:uid="{00000000-0005-0000-0000-0000B7460000}"/>
    <cellStyle name="Note 6 3 3 2 2 2" xfId="31837" xr:uid="{00000000-0005-0000-0000-0000B8460000}"/>
    <cellStyle name="Note 6 3 3 2 3" xfId="23292" xr:uid="{00000000-0005-0000-0000-0000B9460000}"/>
    <cellStyle name="Note 6 3 3 3" xfId="13503" xr:uid="{00000000-0005-0000-0000-0000BA460000}"/>
    <cellStyle name="Note 6 3 3 3 2" xfId="28335" xr:uid="{00000000-0005-0000-0000-0000BB460000}"/>
    <cellStyle name="Note 6 3 3 4" xfId="10656" xr:uid="{00000000-0005-0000-0000-0000BC460000}"/>
    <cellStyle name="Note 6 3 3 4 2" xfId="25488" xr:uid="{00000000-0005-0000-0000-0000BD460000}"/>
    <cellStyle name="Note 6 3 3 5" xfId="20983" xr:uid="{00000000-0005-0000-0000-0000BE460000}"/>
    <cellStyle name="Note 6 3 4" xfId="4561" xr:uid="{00000000-0005-0000-0000-0000BF460000}"/>
    <cellStyle name="Note 6 3 4 2" xfId="8600" xr:uid="{00000000-0005-0000-0000-0000C0460000}"/>
    <cellStyle name="Note 6 3 4 2 2" xfId="17718" xr:uid="{00000000-0005-0000-0000-0000C1460000}"/>
    <cellStyle name="Note 6 3 4 2 2 2" xfId="32550" xr:uid="{00000000-0005-0000-0000-0000C2460000}"/>
    <cellStyle name="Note 6 3 4 2 3" xfId="24226" xr:uid="{00000000-0005-0000-0000-0000C3460000}"/>
    <cellStyle name="Note 6 3 4 3" xfId="14888" xr:uid="{00000000-0005-0000-0000-0000C4460000}"/>
    <cellStyle name="Note 6 3 4 3 2" xfId="29720" xr:uid="{00000000-0005-0000-0000-0000C5460000}"/>
    <cellStyle name="Note 6 3 4 4" xfId="11324" xr:uid="{00000000-0005-0000-0000-0000C6460000}"/>
    <cellStyle name="Note 6 3 4 4 2" xfId="26156" xr:uid="{00000000-0005-0000-0000-0000C7460000}"/>
    <cellStyle name="Note 6 3 4 5" xfId="21782" xr:uid="{00000000-0005-0000-0000-0000C8460000}"/>
    <cellStyle name="Note 6 3 5" xfId="2551" xr:uid="{00000000-0005-0000-0000-0000C9460000}"/>
    <cellStyle name="Note 6 3 5 2" xfId="6657" xr:uid="{00000000-0005-0000-0000-0000CA460000}"/>
    <cellStyle name="Note 6 3 5 2 2" xfId="16615" xr:uid="{00000000-0005-0000-0000-0000CB460000}"/>
    <cellStyle name="Note 6 3 5 2 2 2" xfId="31447" xr:uid="{00000000-0005-0000-0000-0000CC460000}"/>
    <cellStyle name="Note 6 3 5 2 3" xfId="22995" xr:uid="{00000000-0005-0000-0000-0000CD460000}"/>
    <cellStyle name="Note 6 3 5 3" xfId="12889" xr:uid="{00000000-0005-0000-0000-0000CE460000}"/>
    <cellStyle name="Note 6 3 5 3 2" xfId="27721" xr:uid="{00000000-0005-0000-0000-0000CF460000}"/>
    <cellStyle name="Note 6 3 5 4" xfId="10265" xr:uid="{00000000-0005-0000-0000-0000D0460000}"/>
    <cellStyle name="Note 6 3 5 4 2" xfId="25097" xr:uid="{00000000-0005-0000-0000-0000D1460000}"/>
    <cellStyle name="Note 6 3 5 5" xfId="20637" xr:uid="{00000000-0005-0000-0000-0000D2460000}"/>
    <cellStyle name="Note 6 3 6" xfId="5674" xr:uid="{00000000-0005-0000-0000-0000D3460000}"/>
    <cellStyle name="Note 6 3 6 2" xfId="15909" xr:uid="{00000000-0005-0000-0000-0000D4460000}"/>
    <cellStyle name="Note 6 3 6 2 2" xfId="30741" xr:uid="{00000000-0005-0000-0000-0000D5460000}"/>
    <cellStyle name="Note 6 3 6 3" xfId="22370" xr:uid="{00000000-0005-0000-0000-0000D6460000}"/>
    <cellStyle name="Note 6 3 7" xfId="11929" xr:uid="{00000000-0005-0000-0000-0000D7460000}"/>
    <cellStyle name="Note 6 3 7 2" xfId="26761" xr:uid="{00000000-0005-0000-0000-0000D8460000}"/>
    <cellStyle name="Note 6 3 8" xfId="9587" xr:uid="{00000000-0005-0000-0000-0000D9460000}"/>
    <cellStyle name="Note 6 3 8 2" xfId="19889" xr:uid="{00000000-0005-0000-0000-0000DA460000}"/>
    <cellStyle name="Note 6 4" xfId="1571" xr:uid="{00000000-0005-0000-0000-0000DB460000}"/>
    <cellStyle name="Note 6 4 2" xfId="2068" xr:uid="{00000000-0005-0000-0000-0000DC460000}"/>
    <cellStyle name="Note 6 4 2 2" xfId="3409" xr:uid="{00000000-0005-0000-0000-0000DD460000}"/>
    <cellStyle name="Note 6 4 2 2 2" xfId="7472" xr:uid="{00000000-0005-0000-0000-0000DE460000}"/>
    <cellStyle name="Note 6 4 2 2 2 2" xfId="17171" xr:uid="{00000000-0005-0000-0000-0000DF460000}"/>
    <cellStyle name="Note 6 4 2 2 2 2 2" xfId="32003" xr:uid="{00000000-0005-0000-0000-0000E0460000}"/>
    <cellStyle name="Note 6 4 2 2 2 3" xfId="23460" xr:uid="{00000000-0005-0000-0000-0000E1460000}"/>
    <cellStyle name="Note 6 4 2 2 3" xfId="13746" xr:uid="{00000000-0005-0000-0000-0000E2460000}"/>
    <cellStyle name="Note 6 4 2 2 3 2" xfId="28578" xr:uid="{00000000-0005-0000-0000-0000E3460000}"/>
    <cellStyle name="Note 6 4 2 2 4" xfId="10790" xr:uid="{00000000-0005-0000-0000-0000E4460000}"/>
    <cellStyle name="Note 6 4 2 2 4 2" xfId="25622" xr:uid="{00000000-0005-0000-0000-0000E5460000}"/>
    <cellStyle name="Note 6 4 2 2 5" xfId="21138" xr:uid="{00000000-0005-0000-0000-0000E6460000}"/>
    <cellStyle name="Note 6 4 2 3" xfId="5036" xr:uid="{00000000-0005-0000-0000-0000E7460000}"/>
    <cellStyle name="Note 6 4 2 3 2" xfId="9075" xr:uid="{00000000-0005-0000-0000-0000E8460000}"/>
    <cellStyle name="Note 6 4 2 3 2 2" xfId="18008" xr:uid="{00000000-0005-0000-0000-0000E9460000}"/>
    <cellStyle name="Note 6 4 2 3 2 2 2" xfId="32840" xr:uid="{00000000-0005-0000-0000-0000EA460000}"/>
    <cellStyle name="Note 6 4 2 3 2 3" xfId="24509" xr:uid="{00000000-0005-0000-0000-0000EB460000}"/>
    <cellStyle name="Note 6 4 2 3 3" xfId="15357" xr:uid="{00000000-0005-0000-0000-0000EC460000}"/>
    <cellStyle name="Note 6 4 2 3 3 2" xfId="30189" xr:uid="{00000000-0005-0000-0000-0000ED460000}"/>
    <cellStyle name="Note 6 4 2 3 4" xfId="11608" xr:uid="{00000000-0005-0000-0000-0000EE460000}"/>
    <cellStyle name="Note 6 4 2 3 4 2" xfId="26440" xr:uid="{00000000-0005-0000-0000-0000EF460000}"/>
    <cellStyle name="Note 6 4 2 3 5" xfId="22029" xr:uid="{00000000-0005-0000-0000-0000F0460000}"/>
    <cellStyle name="Note 6 4 2 4" xfId="3026" xr:uid="{00000000-0005-0000-0000-0000F1460000}"/>
    <cellStyle name="Note 6 4 2 4 2" xfId="7101" xr:uid="{00000000-0005-0000-0000-0000F2460000}"/>
    <cellStyle name="Note 6 4 2 4 2 2" xfId="16899" xr:uid="{00000000-0005-0000-0000-0000F3460000}"/>
    <cellStyle name="Note 6 4 2 4 2 2 2" xfId="31731" xr:uid="{00000000-0005-0000-0000-0000F4460000}"/>
    <cellStyle name="Note 6 4 2 4 2 3" xfId="23242" xr:uid="{00000000-0005-0000-0000-0000F5460000}"/>
    <cellStyle name="Note 6 4 2 4 3" xfId="13364" xr:uid="{00000000-0005-0000-0000-0000F6460000}"/>
    <cellStyle name="Note 6 4 2 4 3 2" xfId="28196" xr:uid="{00000000-0005-0000-0000-0000F7460000}"/>
    <cellStyle name="Note 6 4 2 4 4" xfId="10555" xr:uid="{00000000-0005-0000-0000-0000F8460000}"/>
    <cellStyle name="Note 6 4 2 4 4 2" xfId="25387" xr:uid="{00000000-0005-0000-0000-0000F9460000}"/>
    <cellStyle name="Note 6 4 2 4 5" xfId="20920" xr:uid="{00000000-0005-0000-0000-0000FA460000}"/>
    <cellStyle name="Note 6 4 2 5" xfId="6193" xr:uid="{00000000-0005-0000-0000-0000FB460000}"/>
    <cellStyle name="Note 6 4 2 5 2" xfId="16379" xr:uid="{00000000-0005-0000-0000-0000FC460000}"/>
    <cellStyle name="Note 6 4 2 5 2 2" xfId="31211" xr:uid="{00000000-0005-0000-0000-0000FD460000}"/>
    <cellStyle name="Note 6 4 2 5 3" xfId="22693" xr:uid="{00000000-0005-0000-0000-0000FE460000}"/>
    <cellStyle name="Note 6 4 2 6" xfId="12449" xr:uid="{00000000-0005-0000-0000-0000FF460000}"/>
    <cellStyle name="Note 6 4 2 6 2" xfId="27281" xr:uid="{00000000-0005-0000-0000-000000470000}"/>
    <cellStyle name="Note 6 4 2 7" xfId="10031" xr:uid="{00000000-0005-0000-0000-000001470000}"/>
    <cellStyle name="Note 6 4 2 7 2" xfId="24863" xr:uid="{00000000-0005-0000-0000-000002470000}"/>
    <cellStyle name="Note 6 4 2 8" xfId="20372" xr:uid="{00000000-0005-0000-0000-000003470000}"/>
    <cellStyle name="Note 6 4 3" xfId="3621" xr:uid="{00000000-0005-0000-0000-000004470000}"/>
    <cellStyle name="Note 6 4 3 2" xfId="7681" xr:uid="{00000000-0005-0000-0000-000005470000}"/>
    <cellStyle name="Note 6 4 3 2 2" xfId="17284" xr:uid="{00000000-0005-0000-0000-000006470000}"/>
    <cellStyle name="Note 6 4 3 2 2 2" xfId="32116" xr:uid="{00000000-0005-0000-0000-000007470000}"/>
    <cellStyle name="Note 6 4 3 2 3" xfId="23590" xr:uid="{00000000-0005-0000-0000-000008470000}"/>
    <cellStyle name="Note 6 4 3 3" xfId="13956" xr:uid="{00000000-0005-0000-0000-000009470000}"/>
    <cellStyle name="Note 6 4 3 3 2" xfId="28788" xr:uid="{00000000-0005-0000-0000-00000A470000}"/>
    <cellStyle name="Note 6 4 3 4" xfId="10901" xr:uid="{00000000-0005-0000-0000-00000B470000}"/>
    <cellStyle name="Note 6 4 3 4 2" xfId="25733" xr:uid="{00000000-0005-0000-0000-00000C470000}"/>
    <cellStyle name="Note 6 4 3 5" xfId="21254" xr:uid="{00000000-0005-0000-0000-00000D470000}"/>
    <cellStyle name="Note 6 4 4" xfId="4616" xr:uid="{00000000-0005-0000-0000-00000E470000}"/>
    <cellStyle name="Note 6 4 4 2" xfId="8655" xr:uid="{00000000-0005-0000-0000-00000F470000}"/>
    <cellStyle name="Note 6 4 4 2 2" xfId="17768" xr:uid="{00000000-0005-0000-0000-000010470000}"/>
    <cellStyle name="Note 6 4 4 2 2 2" xfId="32600" xr:uid="{00000000-0005-0000-0000-000011470000}"/>
    <cellStyle name="Note 6 4 4 2 3" xfId="24249" xr:uid="{00000000-0005-0000-0000-000012470000}"/>
    <cellStyle name="Note 6 4 4 3" xfId="14942" xr:uid="{00000000-0005-0000-0000-000013470000}"/>
    <cellStyle name="Note 6 4 4 3 2" xfId="29774" xr:uid="{00000000-0005-0000-0000-000014470000}"/>
    <cellStyle name="Note 6 4 4 4" xfId="11373" xr:uid="{00000000-0005-0000-0000-000015470000}"/>
    <cellStyle name="Note 6 4 4 4 2" xfId="26205" xr:uid="{00000000-0005-0000-0000-000016470000}"/>
    <cellStyle name="Note 6 4 4 5" xfId="21799" xr:uid="{00000000-0005-0000-0000-000017470000}"/>
    <cellStyle name="Note 6 4 5" xfId="2606" xr:uid="{00000000-0005-0000-0000-000018470000}"/>
    <cellStyle name="Note 6 4 5 2" xfId="6707" xr:uid="{00000000-0005-0000-0000-000019470000}"/>
    <cellStyle name="Note 6 4 5 2 2" xfId="16664" xr:uid="{00000000-0005-0000-0000-00001A470000}"/>
    <cellStyle name="Note 6 4 5 2 2 2" xfId="31496" xr:uid="{00000000-0005-0000-0000-00001B470000}"/>
    <cellStyle name="Note 6 4 5 2 3" xfId="23012" xr:uid="{00000000-0005-0000-0000-00001C470000}"/>
    <cellStyle name="Note 6 4 5 3" xfId="12944" xr:uid="{00000000-0005-0000-0000-00001D470000}"/>
    <cellStyle name="Note 6 4 5 3 2" xfId="27776" xr:uid="{00000000-0005-0000-0000-00001E470000}"/>
    <cellStyle name="Note 6 4 5 4" xfId="10315" xr:uid="{00000000-0005-0000-0000-00001F470000}"/>
    <cellStyle name="Note 6 4 5 4 2" xfId="25147" xr:uid="{00000000-0005-0000-0000-000020470000}"/>
    <cellStyle name="Note 6 4 5 5" xfId="20660" xr:uid="{00000000-0005-0000-0000-000021470000}"/>
    <cellStyle name="Note 6 4 6" xfId="5723" xr:uid="{00000000-0005-0000-0000-000022470000}"/>
    <cellStyle name="Note 6 4 6 2" xfId="15958" xr:uid="{00000000-0005-0000-0000-000023470000}"/>
    <cellStyle name="Note 6 4 6 2 2" xfId="30790" xr:uid="{00000000-0005-0000-0000-000024470000}"/>
    <cellStyle name="Note 6 4 6 3" xfId="22387" xr:uid="{00000000-0005-0000-0000-000025470000}"/>
    <cellStyle name="Note 6 4 7" xfId="11978" xr:uid="{00000000-0005-0000-0000-000026470000}"/>
    <cellStyle name="Note 6 4 7 2" xfId="26810" xr:uid="{00000000-0005-0000-0000-000027470000}"/>
    <cellStyle name="Note 6 4 8" xfId="9637" xr:uid="{00000000-0005-0000-0000-000028470000}"/>
    <cellStyle name="Note 6 4 8 2" xfId="19938" xr:uid="{00000000-0005-0000-0000-000029470000}"/>
    <cellStyle name="Note 6 5" xfId="1621" xr:uid="{00000000-0005-0000-0000-00002A470000}"/>
    <cellStyle name="Note 6 5 2" xfId="2118" xr:uid="{00000000-0005-0000-0000-00002B470000}"/>
    <cellStyle name="Note 6 5 2 2" xfId="4140" xr:uid="{00000000-0005-0000-0000-00002C470000}"/>
    <cellStyle name="Note 6 5 2 2 2" xfId="8184" xr:uid="{00000000-0005-0000-0000-00002D470000}"/>
    <cellStyle name="Note 6 5 2 2 2 2" xfId="17540" xr:uid="{00000000-0005-0000-0000-00002E470000}"/>
    <cellStyle name="Note 6 5 2 2 2 2 2" xfId="32372" xr:uid="{00000000-0005-0000-0000-00002F470000}"/>
    <cellStyle name="Note 6 5 2 2 2 3" xfId="23913" xr:uid="{00000000-0005-0000-0000-000030470000}"/>
    <cellStyle name="Note 6 5 2 2 3" xfId="14472" xr:uid="{00000000-0005-0000-0000-000031470000}"/>
    <cellStyle name="Note 6 5 2 2 3 2" xfId="29304" xr:uid="{00000000-0005-0000-0000-000032470000}"/>
    <cellStyle name="Note 6 5 2 2 4" xfId="11158" xr:uid="{00000000-0005-0000-0000-000033470000}"/>
    <cellStyle name="Note 6 5 2 2 4 2" xfId="25990" xr:uid="{00000000-0005-0000-0000-000034470000}"/>
    <cellStyle name="Note 6 5 2 2 5" xfId="21540" xr:uid="{00000000-0005-0000-0000-000035470000}"/>
    <cellStyle name="Note 6 5 2 3" xfId="5086" xr:uid="{00000000-0005-0000-0000-000036470000}"/>
    <cellStyle name="Note 6 5 2 3 2" xfId="9125" xr:uid="{00000000-0005-0000-0000-000037470000}"/>
    <cellStyle name="Note 6 5 2 3 2 2" xfId="18053" xr:uid="{00000000-0005-0000-0000-000038470000}"/>
    <cellStyle name="Note 6 5 2 3 2 2 2" xfId="32885" xr:uid="{00000000-0005-0000-0000-000039470000}"/>
    <cellStyle name="Note 6 5 2 3 2 3" xfId="24527" xr:uid="{00000000-0005-0000-0000-00003A470000}"/>
    <cellStyle name="Note 6 5 2 3 3" xfId="15406" xr:uid="{00000000-0005-0000-0000-00003B470000}"/>
    <cellStyle name="Note 6 5 2 3 3 2" xfId="30238" xr:uid="{00000000-0005-0000-0000-00003C470000}"/>
    <cellStyle name="Note 6 5 2 3 4" xfId="11652" xr:uid="{00000000-0005-0000-0000-00003D470000}"/>
    <cellStyle name="Note 6 5 2 3 4 2" xfId="26484" xr:uid="{00000000-0005-0000-0000-00003E470000}"/>
    <cellStyle name="Note 6 5 2 3 5" xfId="22041" xr:uid="{00000000-0005-0000-0000-00003F470000}"/>
    <cellStyle name="Note 6 5 2 4" xfId="3076" xr:uid="{00000000-0005-0000-0000-000040470000}"/>
    <cellStyle name="Note 6 5 2 4 2" xfId="7146" xr:uid="{00000000-0005-0000-0000-000041470000}"/>
    <cellStyle name="Note 6 5 2 4 2 2" xfId="16943" xr:uid="{00000000-0005-0000-0000-000042470000}"/>
    <cellStyle name="Note 6 5 2 4 2 2 2" xfId="31775" xr:uid="{00000000-0005-0000-0000-000043470000}"/>
    <cellStyle name="Note 6 5 2 4 2 3" xfId="23254" xr:uid="{00000000-0005-0000-0000-000044470000}"/>
    <cellStyle name="Note 6 5 2 4 3" xfId="13414" xr:uid="{00000000-0005-0000-0000-000045470000}"/>
    <cellStyle name="Note 6 5 2 4 3 2" xfId="28246" xr:uid="{00000000-0005-0000-0000-000046470000}"/>
    <cellStyle name="Note 6 5 2 4 4" xfId="10600" xr:uid="{00000000-0005-0000-0000-000047470000}"/>
    <cellStyle name="Note 6 5 2 4 4 2" xfId="25432" xr:uid="{00000000-0005-0000-0000-000048470000}"/>
    <cellStyle name="Note 6 5 2 4 5" xfId="20938" xr:uid="{00000000-0005-0000-0000-000049470000}"/>
    <cellStyle name="Note 6 5 2 5" xfId="6238" xr:uid="{00000000-0005-0000-0000-00004A470000}"/>
    <cellStyle name="Note 6 5 2 5 2" xfId="16423" xr:uid="{00000000-0005-0000-0000-00004B470000}"/>
    <cellStyle name="Note 6 5 2 5 2 2" xfId="31255" xr:uid="{00000000-0005-0000-0000-00004C470000}"/>
    <cellStyle name="Note 6 5 2 5 3" xfId="22705" xr:uid="{00000000-0005-0000-0000-00004D470000}"/>
    <cellStyle name="Note 6 5 2 6" xfId="12493" xr:uid="{00000000-0005-0000-0000-00004E470000}"/>
    <cellStyle name="Note 6 5 2 6 2" xfId="27325" xr:uid="{00000000-0005-0000-0000-00004F470000}"/>
    <cellStyle name="Note 6 5 2 7" xfId="10075" xr:uid="{00000000-0005-0000-0000-000050470000}"/>
    <cellStyle name="Note 6 5 2 7 2" xfId="24907" xr:uid="{00000000-0005-0000-0000-000051470000}"/>
    <cellStyle name="Note 6 5 2 8" xfId="20384" xr:uid="{00000000-0005-0000-0000-000052470000}"/>
    <cellStyle name="Note 6 5 3" xfId="4324" xr:uid="{00000000-0005-0000-0000-000053470000}"/>
    <cellStyle name="Note 6 5 3 2" xfId="8363" xr:uid="{00000000-0005-0000-0000-000054470000}"/>
    <cellStyle name="Note 6 5 3 2 2" xfId="17641" xr:uid="{00000000-0005-0000-0000-000055470000}"/>
    <cellStyle name="Note 6 5 3 2 2 2" xfId="32473" xr:uid="{00000000-0005-0000-0000-000056470000}"/>
    <cellStyle name="Note 6 5 3 2 3" xfId="24031" xr:uid="{00000000-0005-0000-0000-000057470000}"/>
    <cellStyle name="Note 6 5 3 3" xfId="14655" xr:uid="{00000000-0005-0000-0000-000058470000}"/>
    <cellStyle name="Note 6 5 3 3 2" xfId="29487" xr:uid="{00000000-0005-0000-0000-000059470000}"/>
    <cellStyle name="Note 6 5 3 4" xfId="11251" xr:uid="{00000000-0005-0000-0000-00005A470000}"/>
    <cellStyle name="Note 6 5 3 4 2" xfId="26083" xr:uid="{00000000-0005-0000-0000-00005B470000}"/>
    <cellStyle name="Note 6 5 3 5" xfId="21627" xr:uid="{00000000-0005-0000-0000-00005C470000}"/>
    <cellStyle name="Note 6 5 4" xfId="4666" xr:uid="{00000000-0005-0000-0000-00005D470000}"/>
    <cellStyle name="Note 6 5 4 2" xfId="8705" xr:uid="{00000000-0005-0000-0000-00005E470000}"/>
    <cellStyle name="Note 6 5 4 2 2" xfId="17813" xr:uid="{00000000-0005-0000-0000-00005F470000}"/>
    <cellStyle name="Note 6 5 4 2 2 2" xfId="32645" xr:uid="{00000000-0005-0000-0000-000060470000}"/>
    <cellStyle name="Note 6 5 4 2 3" xfId="24267" xr:uid="{00000000-0005-0000-0000-000061470000}"/>
    <cellStyle name="Note 6 5 4 3" xfId="14991" xr:uid="{00000000-0005-0000-0000-000062470000}"/>
    <cellStyle name="Note 6 5 4 3 2" xfId="29823" xr:uid="{00000000-0005-0000-0000-000063470000}"/>
    <cellStyle name="Note 6 5 4 4" xfId="11417" xr:uid="{00000000-0005-0000-0000-000064470000}"/>
    <cellStyle name="Note 6 5 4 4 2" xfId="26249" xr:uid="{00000000-0005-0000-0000-000065470000}"/>
    <cellStyle name="Note 6 5 4 5" xfId="21811" xr:uid="{00000000-0005-0000-0000-000066470000}"/>
    <cellStyle name="Note 6 5 5" xfId="2656" xr:uid="{00000000-0005-0000-0000-000067470000}"/>
    <cellStyle name="Note 6 5 5 2" xfId="6752" xr:uid="{00000000-0005-0000-0000-000068470000}"/>
    <cellStyle name="Note 6 5 5 2 2" xfId="16708" xr:uid="{00000000-0005-0000-0000-000069470000}"/>
    <cellStyle name="Note 6 5 5 2 2 2" xfId="31540" xr:uid="{00000000-0005-0000-0000-00006A470000}"/>
    <cellStyle name="Note 6 5 5 2 3" xfId="23024" xr:uid="{00000000-0005-0000-0000-00006B470000}"/>
    <cellStyle name="Note 6 5 5 3" xfId="12994" xr:uid="{00000000-0005-0000-0000-00006C470000}"/>
    <cellStyle name="Note 6 5 5 3 2" xfId="27826" xr:uid="{00000000-0005-0000-0000-00006D470000}"/>
    <cellStyle name="Note 6 5 5 4" xfId="10360" xr:uid="{00000000-0005-0000-0000-00006E470000}"/>
    <cellStyle name="Note 6 5 5 4 2" xfId="25192" xr:uid="{00000000-0005-0000-0000-00006F470000}"/>
    <cellStyle name="Note 6 5 5 5" xfId="20678" xr:uid="{00000000-0005-0000-0000-000070470000}"/>
    <cellStyle name="Note 6 5 6" xfId="5768" xr:uid="{00000000-0005-0000-0000-000071470000}"/>
    <cellStyle name="Note 6 5 6 2" xfId="16002" xr:uid="{00000000-0005-0000-0000-000072470000}"/>
    <cellStyle name="Note 6 5 6 2 2" xfId="30834" xr:uid="{00000000-0005-0000-0000-000073470000}"/>
    <cellStyle name="Note 6 5 6 3" xfId="22399" xr:uid="{00000000-0005-0000-0000-000074470000}"/>
    <cellStyle name="Note 6 5 7" xfId="12022" xr:uid="{00000000-0005-0000-0000-000075470000}"/>
    <cellStyle name="Note 6 5 7 2" xfId="26854" xr:uid="{00000000-0005-0000-0000-000076470000}"/>
    <cellStyle name="Note 6 5 8" xfId="9682" xr:uid="{00000000-0005-0000-0000-000077470000}"/>
    <cellStyle name="Note 6 5 8 2" xfId="19982" xr:uid="{00000000-0005-0000-0000-000078470000}"/>
    <cellStyle name="Note 6 6" xfId="1772" xr:uid="{00000000-0005-0000-0000-000079470000}"/>
    <cellStyle name="Note 6 6 2" xfId="3732" xr:uid="{00000000-0005-0000-0000-00007A470000}"/>
    <cellStyle name="Note 6 6 2 2" xfId="7788" xr:uid="{00000000-0005-0000-0000-00007B470000}"/>
    <cellStyle name="Note 6 6 2 2 2" xfId="17341" xr:uid="{00000000-0005-0000-0000-00007C470000}"/>
    <cellStyle name="Note 6 6 2 2 2 2" xfId="32173" xr:uid="{00000000-0005-0000-0000-00007D470000}"/>
    <cellStyle name="Note 6 6 2 2 3" xfId="23662" xr:uid="{00000000-0005-0000-0000-00007E470000}"/>
    <cellStyle name="Note 6 6 2 3" xfId="14067" xr:uid="{00000000-0005-0000-0000-00007F470000}"/>
    <cellStyle name="Note 6 6 2 3 2" xfId="28899" xr:uid="{00000000-0005-0000-0000-000080470000}"/>
    <cellStyle name="Note 6 6 2 4" xfId="10957" xr:uid="{00000000-0005-0000-0000-000081470000}"/>
    <cellStyle name="Note 6 6 2 4 2" xfId="25789" xr:uid="{00000000-0005-0000-0000-000082470000}"/>
    <cellStyle name="Note 6 6 2 5" xfId="21322" xr:uid="{00000000-0005-0000-0000-000083470000}"/>
    <cellStyle name="Note 6 6 3" xfId="4750" xr:uid="{00000000-0005-0000-0000-000084470000}"/>
    <cellStyle name="Note 6 6 3 2" xfId="8789" xr:uid="{00000000-0005-0000-0000-000085470000}"/>
    <cellStyle name="Note 6 6 3 2 2" xfId="17861" xr:uid="{00000000-0005-0000-0000-000086470000}"/>
    <cellStyle name="Note 6 6 3 2 2 2" xfId="32693" xr:uid="{00000000-0005-0000-0000-000087470000}"/>
    <cellStyle name="Note 6 6 3 2 3" xfId="24319" xr:uid="{00000000-0005-0000-0000-000088470000}"/>
    <cellStyle name="Note 6 6 3 3" xfId="15074" xr:uid="{00000000-0005-0000-0000-000089470000}"/>
    <cellStyle name="Note 6 6 3 3 2" xfId="29906" xr:uid="{00000000-0005-0000-0000-00008A470000}"/>
    <cellStyle name="Note 6 6 3 4" xfId="11464" xr:uid="{00000000-0005-0000-0000-00008B470000}"/>
    <cellStyle name="Note 6 6 3 4 2" xfId="26296" xr:uid="{00000000-0005-0000-0000-00008C470000}"/>
    <cellStyle name="Note 6 6 3 5" xfId="21857" xr:uid="{00000000-0005-0000-0000-00008D470000}"/>
    <cellStyle name="Note 6 6 4" xfId="2740" xr:uid="{00000000-0005-0000-0000-00008E470000}"/>
    <cellStyle name="Note 6 6 4 2" xfId="6831" xr:uid="{00000000-0005-0000-0000-00008F470000}"/>
    <cellStyle name="Note 6 6 4 2 2" xfId="16755" xr:uid="{00000000-0005-0000-0000-000090470000}"/>
    <cellStyle name="Note 6 6 4 2 2 2" xfId="31587" xr:uid="{00000000-0005-0000-0000-000091470000}"/>
    <cellStyle name="Note 6 6 4 2 3" xfId="23070" xr:uid="{00000000-0005-0000-0000-000092470000}"/>
    <cellStyle name="Note 6 6 4 3" xfId="13078" xr:uid="{00000000-0005-0000-0000-000093470000}"/>
    <cellStyle name="Note 6 6 4 3 2" xfId="27910" xr:uid="{00000000-0005-0000-0000-000094470000}"/>
    <cellStyle name="Note 6 6 4 4" xfId="10408" xr:uid="{00000000-0005-0000-0000-000095470000}"/>
    <cellStyle name="Note 6 6 4 4 2" xfId="25240" xr:uid="{00000000-0005-0000-0000-000096470000}"/>
    <cellStyle name="Note 6 6 4 5" xfId="20730" xr:uid="{00000000-0005-0000-0000-000097470000}"/>
    <cellStyle name="Note 6 6 5" xfId="5904" xr:uid="{00000000-0005-0000-0000-000098470000}"/>
    <cellStyle name="Note 6 6 5 2" xfId="16096" xr:uid="{00000000-0005-0000-0000-000099470000}"/>
    <cellStyle name="Note 6 6 5 2 2" xfId="30928" xr:uid="{00000000-0005-0000-0000-00009A470000}"/>
    <cellStyle name="Note 6 6 5 3" xfId="22501" xr:uid="{00000000-0005-0000-0000-00009B470000}"/>
    <cellStyle name="Note 6 6 6" xfId="12166" xr:uid="{00000000-0005-0000-0000-00009C470000}"/>
    <cellStyle name="Note 6 6 6 2" xfId="26998" xr:uid="{00000000-0005-0000-0000-00009D470000}"/>
    <cellStyle name="Note 6 6 7" xfId="9762" xr:uid="{00000000-0005-0000-0000-00009E470000}"/>
    <cellStyle name="Note 6 6 7 2" xfId="24719" xr:uid="{00000000-0005-0000-0000-00009F470000}"/>
    <cellStyle name="Note 6 6 8" xfId="20309" xr:uid="{00000000-0005-0000-0000-0000A0470000}"/>
    <cellStyle name="Note 6 7" xfId="2194" xr:uid="{00000000-0005-0000-0000-0000A1470000}"/>
    <cellStyle name="Note 6 7 2" xfId="3541" xr:uid="{00000000-0005-0000-0000-0000A2470000}"/>
    <cellStyle name="Note 6 7 2 2" xfId="7603" xr:uid="{00000000-0005-0000-0000-0000A3470000}"/>
    <cellStyle name="Note 6 7 2 2 2" xfId="17247" xr:uid="{00000000-0005-0000-0000-0000A4470000}"/>
    <cellStyle name="Note 6 7 2 2 2 2" xfId="32079" xr:uid="{00000000-0005-0000-0000-0000A5470000}"/>
    <cellStyle name="Note 6 7 2 2 3" xfId="23541" xr:uid="{00000000-0005-0000-0000-0000A6470000}"/>
    <cellStyle name="Note 6 7 2 3" xfId="13877" xr:uid="{00000000-0005-0000-0000-0000A7470000}"/>
    <cellStyle name="Note 6 7 2 3 2" xfId="28709" xr:uid="{00000000-0005-0000-0000-0000A8470000}"/>
    <cellStyle name="Note 6 7 2 4" xfId="10864" xr:uid="{00000000-0005-0000-0000-0000A9470000}"/>
    <cellStyle name="Note 6 7 2 4 2" xfId="25696" xr:uid="{00000000-0005-0000-0000-0000AA470000}"/>
    <cellStyle name="Note 6 7 2 5" xfId="21214" xr:uid="{00000000-0005-0000-0000-0000AB470000}"/>
    <cellStyle name="Note 6 7 3" xfId="5162" xr:uid="{00000000-0005-0000-0000-0000AC470000}"/>
    <cellStyle name="Note 6 7 3 2" xfId="9201" xr:uid="{00000000-0005-0000-0000-0000AD470000}"/>
    <cellStyle name="Note 6 7 3 2 2" xfId="18124" xr:uid="{00000000-0005-0000-0000-0000AE470000}"/>
    <cellStyle name="Note 6 7 3 2 2 2" xfId="32956" xr:uid="{00000000-0005-0000-0000-0000AF470000}"/>
    <cellStyle name="Note 6 7 3 2 3" xfId="24539" xr:uid="{00000000-0005-0000-0000-0000B0470000}"/>
    <cellStyle name="Note 6 7 3 3" xfId="15480" xr:uid="{00000000-0005-0000-0000-0000B1470000}"/>
    <cellStyle name="Note 6 7 3 3 2" xfId="30312" xr:uid="{00000000-0005-0000-0000-0000B2470000}"/>
    <cellStyle name="Note 6 7 3 4" xfId="11721" xr:uid="{00000000-0005-0000-0000-0000B3470000}"/>
    <cellStyle name="Note 6 7 3 4 2" xfId="26553" xr:uid="{00000000-0005-0000-0000-0000B4470000}"/>
    <cellStyle name="Note 6 7 3 5" xfId="22046" xr:uid="{00000000-0005-0000-0000-0000B5470000}"/>
    <cellStyle name="Note 6 7 4" xfId="4192" xr:uid="{00000000-0005-0000-0000-0000B6470000}"/>
    <cellStyle name="Note 6 7 4 2" xfId="8233" xr:uid="{00000000-0005-0000-0000-0000B7470000}"/>
    <cellStyle name="Note 6 7 4 2 2" xfId="17580" xr:uid="{00000000-0005-0000-0000-0000B8470000}"/>
    <cellStyle name="Note 6 7 4 2 2 2" xfId="32412" xr:uid="{00000000-0005-0000-0000-0000B9470000}"/>
    <cellStyle name="Note 6 7 4 2 3" xfId="23928" xr:uid="{00000000-0005-0000-0000-0000BA470000}"/>
    <cellStyle name="Note 6 7 4 3" xfId="14524" xr:uid="{00000000-0005-0000-0000-0000BB470000}"/>
    <cellStyle name="Note 6 7 4 3 2" xfId="29356" xr:uid="{00000000-0005-0000-0000-0000BC470000}"/>
    <cellStyle name="Note 6 7 4 4" xfId="11200" xr:uid="{00000000-0005-0000-0000-0000BD470000}"/>
    <cellStyle name="Note 6 7 4 4 2" xfId="26032" xr:uid="{00000000-0005-0000-0000-0000BE470000}"/>
    <cellStyle name="Note 6 7 4 5" xfId="21553" xr:uid="{00000000-0005-0000-0000-0000BF470000}"/>
    <cellStyle name="Note 6 7 5" xfId="6308" xr:uid="{00000000-0005-0000-0000-0000C0470000}"/>
    <cellStyle name="Note 6 7 5 2" xfId="16492" xr:uid="{00000000-0005-0000-0000-0000C1470000}"/>
    <cellStyle name="Note 6 7 5 2 2" xfId="31324" xr:uid="{00000000-0005-0000-0000-0000C2470000}"/>
    <cellStyle name="Note 6 7 5 3" xfId="22710" xr:uid="{00000000-0005-0000-0000-0000C3470000}"/>
    <cellStyle name="Note 6 7 6" xfId="12562" xr:uid="{00000000-0005-0000-0000-0000C4470000}"/>
    <cellStyle name="Note 6 7 6 2" xfId="27394" xr:uid="{00000000-0005-0000-0000-0000C5470000}"/>
    <cellStyle name="Note 6 7 7" xfId="10144" xr:uid="{00000000-0005-0000-0000-0000C6470000}"/>
    <cellStyle name="Note 6 7 7 2" xfId="24976" xr:uid="{00000000-0005-0000-0000-0000C7470000}"/>
    <cellStyle name="Note 6 7 8" xfId="20389" xr:uid="{00000000-0005-0000-0000-0000C8470000}"/>
    <cellStyle name="Note 6 8" xfId="3182" xr:uid="{00000000-0005-0000-0000-0000C9470000}"/>
    <cellStyle name="Note 6 8 2" xfId="7246" xr:uid="{00000000-0005-0000-0000-0000CA470000}"/>
    <cellStyle name="Note 6 8 2 2" xfId="17018" xr:uid="{00000000-0005-0000-0000-0000CB470000}"/>
    <cellStyle name="Note 6 8 2 2 2" xfId="31850" xr:uid="{00000000-0005-0000-0000-0000CC470000}"/>
    <cellStyle name="Note 6 8 2 3" xfId="23304" xr:uid="{00000000-0005-0000-0000-0000CD470000}"/>
    <cellStyle name="Note 6 8 3" xfId="13520" xr:uid="{00000000-0005-0000-0000-0000CE470000}"/>
    <cellStyle name="Note 6 8 3 2" xfId="28352" xr:uid="{00000000-0005-0000-0000-0000CF470000}"/>
    <cellStyle name="Note 6 8 4" xfId="10666" xr:uid="{00000000-0005-0000-0000-0000D0470000}"/>
    <cellStyle name="Note 6 8 4 2" xfId="25498" xr:uid="{00000000-0005-0000-0000-0000D1470000}"/>
    <cellStyle name="Note 6 8 5" xfId="20994" xr:uid="{00000000-0005-0000-0000-0000D2470000}"/>
    <cellStyle name="Note 6 9" xfId="3132" xr:uid="{00000000-0005-0000-0000-0000D3470000}"/>
    <cellStyle name="Note 6 9 2" xfId="7196" xr:uid="{00000000-0005-0000-0000-0000D4470000}"/>
    <cellStyle name="Note 6 9 2 2" xfId="16985" xr:uid="{00000000-0005-0000-0000-0000D5470000}"/>
    <cellStyle name="Note 6 9 2 2 2" xfId="31817" xr:uid="{00000000-0005-0000-0000-0000D6470000}"/>
    <cellStyle name="Note 6 9 2 3" xfId="23268" xr:uid="{00000000-0005-0000-0000-0000D7470000}"/>
    <cellStyle name="Note 6 9 3" xfId="13470" xr:uid="{00000000-0005-0000-0000-0000D8470000}"/>
    <cellStyle name="Note 6 9 3 2" xfId="28302" xr:uid="{00000000-0005-0000-0000-0000D9470000}"/>
    <cellStyle name="Note 6 9 4" xfId="10641" xr:uid="{00000000-0005-0000-0000-0000DA470000}"/>
    <cellStyle name="Note 6 9 4 2" xfId="25473" xr:uid="{00000000-0005-0000-0000-0000DB470000}"/>
    <cellStyle name="Note 6 9 5" xfId="20959" xr:uid="{00000000-0005-0000-0000-0000DC470000}"/>
    <cellStyle name="Note 7" xfId="1228" xr:uid="{00000000-0005-0000-0000-0000DD470000}"/>
    <cellStyle name="Note 7 10" xfId="2314" xr:uid="{00000000-0005-0000-0000-0000DE470000}"/>
    <cellStyle name="Note 7 10 2" xfId="6426" xr:uid="{00000000-0005-0000-0000-0000DF470000}"/>
    <cellStyle name="Note 7 10 2 2" xfId="16519" xr:uid="{00000000-0005-0000-0000-0000E0470000}"/>
    <cellStyle name="Note 7 10 2 2 2" xfId="31351" xr:uid="{00000000-0005-0000-0000-0000E1470000}"/>
    <cellStyle name="Note 7 10 2 3" xfId="22828" xr:uid="{00000000-0005-0000-0000-0000E2470000}"/>
    <cellStyle name="Note 7 10 3" xfId="12654" xr:uid="{00000000-0005-0000-0000-0000E3470000}"/>
    <cellStyle name="Note 7 10 3 2" xfId="27486" xr:uid="{00000000-0005-0000-0000-0000E4470000}"/>
    <cellStyle name="Note 7 10 4" xfId="10170" xr:uid="{00000000-0005-0000-0000-0000E5470000}"/>
    <cellStyle name="Note 7 10 4 2" xfId="25002" xr:uid="{00000000-0005-0000-0000-0000E6470000}"/>
    <cellStyle name="Note 7 10 5" xfId="20477" xr:uid="{00000000-0005-0000-0000-0000E7470000}"/>
    <cellStyle name="Note 7 11" xfId="5277" xr:uid="{00000000-0005-0000-0000-0000E8470000}"/>
    <cellStyle name="Note 7 11 2" xfId="9285" xr:uid="{00000000-0005-0000-0000-0000E9470000}"/>
    <cellStyle name="Note 7 11 2 2" xfId="18152" xr:uid="{00000000-0005-0000-0000-0000EA470000}"/>
    <cellStyle name="Note 7 11 2 2 2" xfId="32984" xr:uid="{00000000-0005-0000-0000-0000EB470000}"/>
    <cellStyle name="Note 7 11 2 3" xfId="24623" xr:uid="{00000000-0005-0000-0000-0000EC470000}"/>
    <cellStyle name="Note 7 11 3" xfId="15593" xr:uid="{00000000-0005-0000-0000-0000ED470000}"/>
    <cellStyle name="Note 7 11 3 2" xfId="30425" xr:uid="{00000000-0005-0000-0000-0000EE470000}"/>
    <cellStyle name="Note 7 11 4" xfId="22134" xr:uid="{00000000-0005-0000-0000-0000EF470000}"/>
    <cellStyle name="Note 7 12" xfId="5435" xr:uid="{00000000-0005-0000-0000-0000F0470000}"/>
    <cellStyle name="Note 7 12 2" xfId="15671" xr:uid="{00000000-0005-0000-0000-0000F1470000}"/>
    <cellStyle name="Note 7 12 2 2" xfId="30503" xr:uid="{00000000-0005-0000-0000-0000F2470000}"/>
    <cellStyle name="Note 7 12 3" xfId="22196" xr:uid="{00000000-0005-0000-0000-0000F3470000}"/>
    <cellStyle name="Note 7 13" xfId="9356" xr:uid="{00000000-0005-0000-0000-0000F4470000}"/>
    <cellStyle name="Note 7 13 2" xfId="24662" xr:uid="{00000000-0005-0000-0000-0000F5470000}"/>
    <cellStyle name="Note 7 14" xfId="5345" xr:uid="{00000000-0005-0000-0000-0000F6470000}"/>
    <cellStyle name="Note 7 14 2" xfId="18219" xr:uid="{00000000-0005-0000-0000-0000F7470000}"/>
    <cellStyle name="Note 7 2" xfId="1347" xr:uid="{00000000-0005-0000-0000-0000F8470000}"/>
    <cellStyle name="Note 7 2 2" xfId="1851" xr:uid="{00000000-0005-0000-0000-0000F9470000}"/>
    <cellStyle name="Note 7 2 2 2" xfId="3516" xr:uid="{00000000-0005-0000-0000-0000FA470000}"/>
    <cellStyle name="Note 7 2 2 2 2" xfId="7578" xr:uid="{00000000-0005-0000-0000-0000FB470000}"/>
    <cellStyle name="Note 7 2 2 2 2 2" xfId="17231" xr:uid="{00000000-0005-0000-0000-0000FC470000}"/>
    <cellStyle name="Note 7 2 2 2 2 2 2" xfId="32063" xr:uid="{00000000-0005-0000-0000-0000FD470000}"/>
    <cellStyle name="Note 7 2 2 2 2 3" xfId="23528" xr:uid="{00000000-0005-0000-0000-0000FE470000}"/>
    <cellStyle name="Note 7 2 2 2 3" xfId="13853" xr:uid="{00000000-0005-0000-0000-0000FF470000}"/>
    <cellStyle name="Note 7 2 2 2 3 2" xfId="28685" xr:uid="{00000000-0005-0000-0000-000000480000}"/>
    <cellStyle name="Note 7 2 2 2 4" xfId="10849" xr:uid="{00000000-0005-0000-0000-000001480000}"/>
    <cellStyle name="Note 7 2 2 2 4 2" xfId="25681" xr:uid="{00000000-0005-0000-0000-000002480000}"/>
    <cellStyle name="Note 7 2 2 2 5" xfId="21203" xr:uid="{00000000-0005-0000-0000-000003480000}"/>
    <cellStyle name="Note 7 2 2 3" xfId="4829" xr:uid="{00000000-0005-0000-0000-000004480000}"/>
    <cellStyle name="Note 7 2 2 3 2" xfId="8868" xr:uid="{00000000-0005-0000-0000-000005480000}"/>
    <cellStyle name="Note 7 2 2 3 2 2" xfId="17909" xr:uid="{00000000-0005-0000-0000-000006480000}"/>
    <cellStyle name="Note 7 2 2 3 2 2 2" xfId="32741" xr:uid="{00000000-0005-0000-0000-000007480000}"/>
    <cellStyle name="Note 7 2 2 3 2 3" xfId="24366" xr:uid="{00000000-0005-0000-0000-000008480000}"/>
    <cellStyle name="Note 7 2 2 3 3" xfId="15153" xr:uid="{00000000-0005-0000-0000-000009480000}"/>
    <cellStyle name="Note 7 2 2 3 3 2" xfId="29985" xr:uid="{00000000-0005-0000-0000-00000A480000}"/>
    <cellStyle name="Note 7 2 2 3 4" xfId="11512" xr:uid="{00000000-0005-0000-0000-00000B480000}"/>
    <cellStyle name="Note 7 2 2 3 4 2" xfId="26344" xr:uid="{00000000-0005-0000-0000-00000C480000}"/>
    <cellStyle name="Note 7 2 2 3 5" xfId="21904" xr:uid="{00000000-0005-0000-0000-00000D480000}"/>
    <cellStyle name="Note 7 2 2 4" xfId="2819" xr:uid="{00000000-0005-0000-0000-00000E480000}"/>
    <cellStyle name="Note 7 2 2 4 2" xfId="6910" xr:uid="{00000000-0005-0000-0000-00000F480000}"/>
    <cellStyle name="Note 7 2 2 4 2 2" xfId="16803" xr:uid="{00000000-0005-0000-0000-000010480000}"/>
    <cellStyle name="Note 7 2 2 4 2 2 2" xfId="31635" xr:uid="{00000000-0005-0000-0000-000011480000}"/>
    <cellStyle name="Note 7 2 2 4 2 3" xfId="23117" xr:uid="{00000000-0005-0000-0000-000012480000}"/>
    <cellStyle name="Note 7 2 2 4 3" xfId="13157" xr:uid="{00000000-0005-0000-0000-000013480000}"/>
    <cellStyle name="Note 7 2 2 4 3 2" xfId="27989" xr:uid="{00000000-0005-0000-0000-000014480000}"/>
    <cellStyle name="Note 7 2 2 4 4" xfId="10456" xr:uid="{00000000-0005-0000-0000-000015480000}"/>
    <cellStyle name="Note 7 2 2 4 4 2" xfId="25288" xr:uid="{00000000-0005-0000-0000-000016480000}"/>
    <cellStyle name="Note 7 2 2 4 5" xfId="20777" xr:uid="{00000000-0005-0000-0000-000017480000}"/>
    <cellStyle name="Note 7 2 2 5" xfId="5983" xr:uid="{00000000-0005-0000-0000-000018480000}"/>
    <cellStyle name="Note 7 2 2 5 2" xfId="16175" xr:uid="{00000000-0005-0000-0000-000019480000}"/>
    <cellStyle name="Note 7 2 2 5 2 2" xfId="31007" xr:uid="{00000000-0005-0000-0000-00001A480000}"/>
    <cellStyle name="Note 7 2 2 5 3" xfId="22548" xr:uid="{00000000-0005-0000-0000-00001B480000}"/>
    <cellStyle name="Note 7 2 2 6" xfId="12245" xr:uid="{00000000-0005-0000-0000-00001C480000}"/>
    <cellStyle name="Note 7 2 2 6 2" xfId="27077" xr:uid="{00000000-0005-0000-0000-00001D480000}"/>
    <cellStyle name="Note 7 2 2 7" xfId="9841" xr:uid="{00000000-0005-0000-0000-00001E480000}"/>
    <cellStyle name="Note 7 2 2 7 2" xfId="24767" xr:uid="{00000000-0005-0000-0000-00001F480000}"/>
    <cellStyle name="Note 7 2 2 8" xfId="20325" xr:uid="{00000000-0005-0000-0000-000020480000}"/>
    <cellStyle name="Note 7 2 3" xfId="3458" xr:uid="{00000000-0005-0000-0000-000021480000}"/>
    <cellStyle name="Note 7 2 3 2" xfId="7521" xr:uid="{00000000-0005-0000-0000-000022480000}"/>
    <cellStyle name="Note 7 2 3 2 2" xfId="17199" xr:uid="{00000000-0005-0000-0000-000023480000}"/>
    <cellStyle name="Note 7 2 3 2 2 2" xfId="32031" xr:uid="{00000000-0005-0000-0000-000024480000}"/>
    <cellStyle name="Note 7 2 3 2 3" xfId="23490" xr:uid="{00000000-0005-0000-0000-000025480000}"/>
    <cellStyle name="Note 7 2 3 3" xfId="13795" xr:uid="{00000000-0005-0000-0000-000026480000}"/>
    <cellStyle name="Note 7 2 3 3 2" xfId="28627" xr:uid="{00000000-0005-0000-0000-000027480000}"/>
    <cellStyle name="Note 7 2 3 4" xfId="10818" xr:uid="{00000000-0005-0000-0000-000028480000}"/>
    <cellStyle name="Note 7 2 3 4 2" xfId="25650" xr:uid="{00000000-0005-0000-0000-000029480000}"/>
    <cellStyle name="Note 7 2 3 5" xfId="21165" xr:uid="{00000000-0005-0000-0000-00002A480000}"/>
    <cellStyle name="Note 7 2 4" xfId="4409" xr:uid="{00000000-0005-0000-0000-00002B480000}"/>
    <cellStyle name="Note 7 2 4 2" xfId="8448" xr:uid="{00000000-0005-0000-0000-00002C480000}"/>
    <cellStyle name="Note 7 2 4 2 2" xfId="17669" xr:uid="{00000000-0005-0000-0000-00002D480000}"/>
    <cellStyle name="Note 7 2 4 2 2 2" xfId="32501" xr:uid="{00000000-0005-0000-0000-00002E480000}"/>
    <cellStyle name="Note 7 2 4 2 3" xfId="24106" xr:uid="{00000000-0005-0000-0000-00002F480000}"/>
    <cellStyle name="Note 7 2 4 3" xfId="14738" xr:uid="{00000000-0005-0000-0000-000030480000}"/>
    <cellStyle name="Note 7 2 4 3 2" xfId="29570" xr:uid="{00000000-0005-0000-0000-000031480000}"/>
    <cellStyle name="Note 7 2 4 4" xfId="11277" xr:uid="{00000000-0005-0000-0000-000032480000}"/>
    <cellStyle name="Note 7 2 4 4 2" xfId="26109" xr:uid="{00000000-0005-0000-0000-000033480000}"/>
    <cellStyle name="Note 7 2 4 5" xfId="21674" xr:uid="{00000000-0005-0000-0000-000034480000}"/>
    <cellStyle name="Note 7 2 5" xfId="2399" xr:uid="{00000000-0005-0000-0000-000035480000}"/>
    <cellStyle name="Note 7 2 5 2" xfId="6511" xr:uid="{00000000-0005-0000-0000-000036480000}"/>
    <cellStyle name="Note 7 2 5 2 2" xfId="16567" xr:uid="{00000000-0005-0000-0000-000037480000}"/>
    <cellStyle name="Note 7 2 5 2 2 2" xfId="31399" xr:uid="{00000000-0005-0000-0000-000038480000}"/>
    <cellStyle name="Note 7 2 5 2 3" xfId="22881" xr:uid="{00000000-0005-0000-0000-000039480000}"/>
    <cellStyle name="Note 7 2 5 3" xfId="12738" xr:uid="{00000000-0005-0000-0000-00003A480000}"/>
    <cellStyle name="Note 7 2 5 3 2" xfId="27570" xr:uid="{00000000-0005-0000-0000-00003B480000}"/>
    <cellStyle name="Note 7 2 5 4" xfId="10217" xr:uid="{00000000-0005-0000-0000-00003C480000}"/>
    <cellStyle name="Note 7 2 5 4 2" xfId="25049" xr:uid="{00000000-0005-0000-0000-00003D480000}"/>
    <cellStyle name="Note 7 2 5 5" xfId="20523" xr:uid="{00000000-0005-0000-0000-00003E480000}"/>
    <cellStyle name="Note 7 2 6" xfId="5524" xr:uid="{00000000-0005-0000-0000-00003F480000}"/>
    <cellStyle name="Note 7 2 6 2" xfId="15759" xr:uid="{00000000-0005-0000-0000-000040480000}"/>
    <cellStyle name="Note 7 2 6 2 2" xfId="30591" xr:uid="{00000000-0005-0000-0000-000041480000}"/>
    <cellStyle name="Note 7 2 6 3" xfId="22252" xr:uid="{00000000-0005-0000-0000-000042480000}"/>
    <cellStyle name="Note 7 2 7" xfId="11774" xr:uid="{00000000-0005-0000-0000-000043480000}"/>
    <cellStyle name="Note 7 2 7 2" xfId="26606" xr:uid="{00000000-0005-0000-0000-000044480000}"/>
    <cellStyle name="Note 7 2 8" xfId="9445" xr:uid="{00000000-0005-0000-0000-000045480000}"/>
    <cellStyle name="Note 7 2 8 2" xfId="19749" xr:uid="{00000000-0005-0000-0000-000046480000}"/>
    <cellStyle name="Note 7 3" xfId="1517" xr:uid="{00000000-0005-0000-0000-000047480000}"/>
    <cellStyle name="Note 7 3 2" xfId="2014" xr:uid="{00000000-0005-0000-0000-000048480000}"/>
    <cellStyle name="Note 7 3 2 2" xfId="3485" xr:uid="{00000000-0005-0000-0000-000049480000}"/>
    <cellStyle name="Note 7 3 2 2 2" xfId="7547" xr:uid="{00000000-0005-0000-0000-00004A480000}"/>
    <cellStyle name="Note 7 3 2 2 2 2" xfId="17209" xr:uid="{00000000-0005-0000-0000-00004B480000}"/>
    <cellStyle name="Note 7 3 2 2 2 2 2" xfId="32041" xr:uid="{00000000-0005-0000-0000-00004C480000}"/>
    <cellStyle name="Note 7 3 2 2 2 3" xfId="23511" xr:uid="{00000000-0005-0000-0000-00004D480000}"/>
    <cellStyle name="Note 7 3 2 2 3" xfId="13822" xr:uid="{00000000-0005-0000-0000-00004E480000}"/>
    <cellStyle name="Note 7 3 2 2 3 2" xfId="28654" xr:uid="{00000000-0005-0000-0000-00004F480000}"/>
    <cellStyle name="Note 7 3 2 2 4" xfId="10827" xr:uid="{00000000-0005-0000-0000-000050480000}"/>
    <cellStyle name="Note 7 3 2 2 4 2" xfId="25659" xr:uid="{00000000-0005-0000-0000-000051480000}"/>
    <cellStyle name="Note 7 3 2 2 5" xfId="21187" xr:uid="{00000000-0005-0000-0000-000052480000}"/>
    <cellStyle name="Note 7 3 2 3" xfId="4982" xr:uid="{00000000-0005-0000-0000-000053480000}"/>
    <cellStyle name="Note 7 3 2 3 2" xfId="9021" xr:uid="{00000000-0005-0000-0000-000054480000}"/>
    <cellStyle name="Note 7 3 2 3 2 2" xfId="17959" xr:uid="{00000000-0005-0000-0000-000055480000}"/>
    <cellStyle name="Note 7 3 2 3 2 2 2" xfId="32791" xr:uid="{00000000-0005-0000-0000-000056480000}"/>
    <cellStyle name="Note 7 3 2 3 2 3" xfId="24487" xr:uid="{00000000-0005-0000-0000-000057480000}"/>
    <cellStyle name="Note 7 3 2 3 3" xfId="15304" xr:uid="{00000000-0005-0000-0000-000058480000}"/>
    <cellStyle name="Note 7 3 2 3 3 2" xfId="30136" xr:uid="{00000000-0005-0000-0000-000059480000}"/>
    <cellStyle name="Note 7 3 2 3 4" xfId="11560" xr:uid="{00000000-0005-0000-0000-00005A480000}"/>
    <cellStyle name="Note 7 3 2 3 4 2" xfId="26392" xr:uid="{00000000-0005-0000-0000-00005B480000}"/>
    <cellStyle name="Note 7 3 2 3 5" xfId="22013" xr:uid="{00000000-0005-0000-0000-00005C480000}"/>
    <cellStyle name="Note 7 3 2 4" xfId="2972" xr:uid="{00000000-0005-0000-0000-00005D480000}"/>
    <cellStyle name="Note 7 3 2 4 2" xfId="7052" xr:uid="{00000000-0005-0000-0000-00005E480000}"/>
    <cellStyle name="Note 7 3 2 4 2 2" xfId="16851" xr:uid="{00000000-0005-0000-0000-00005F480000}"/>
    <cellStyle name="Note 7 3 2 4 2 2 2" xfId="31683" xr:uid="{00000000-0005-0000-0000-000060480000}"/>
    <cellStyle name="Note 7 3 2 4 2 3" xfId="23226" xr:uid="{00000000-0005-0000-0000-000061480000}"/>
    <cellStyle name="Note 7 3 2 4 3" xfId="13310" xr:uid="{00000000-0005-0000-0000-000062480000}"/>
    <cellStyle name="Note 7 3 2 4 3 2" xfId="28142" xr:uid="{00000000-0005-0000-0000-000063480000}"/>
    <cellStyle name="Note 7 3 2 4 4" xfId="10506" xr:uid="{00000000-0005-0000-0000-000064480000}"/>
    <cellStyle name="Note 7 3 2 4 4 2" xfId="25338" xr:uid="{00000000-0005-0000-0000-000065480000}"/>
    <cellStyle name="Note 7 3 2 4 5" xfId="20898" xr:uid="{00000000-0005-0000-0000-000066480000}"/>
    <cellStyle name="Note 7 3 2 5" xfId="6144" xr:uid="{00000000-0005-0000-0000-000067480000}"/>
    <cellStyle name="Note 7 3 2 5 2" xfId="16331" xr:uid="{00000000-0005-0000-0000-000068480000}"/>
    <cellStyle name="Note 7 3 2 5 2 2" xfId="31163" xr:uid="{00000000-0005-0000-0000-000069480000}"/>
    <cellStyle name="Note 7 3 2 5 3" xfId="22677" xr:uid="{00000000-0005-0000-0000-00006A480000}"/>
    <cellStyle name="Note 7 3 2 6" xfId="12401" xr:uid="{00000000-0005-0000-0000-00006B480000}"/>
    <cellStyle name="Note 7 3 2 6 2" xfId="27233" xr:uid="{00000000-0005-0000-0000-00006C480000}"/>
    <cellStyle name="Note 7 3 2 7" xfId="9983" xr:uid="{00000000-0005-0000-0000-00006D480000}"/>
    <cellStyle name="Note 7 3 2 7 2" xfId="24815" xr:uid="{00000000-0005-0000-0000-00006E480000}"/>
    <cellStyle name="Note 7 3 2 8" xfId="20356" xr:uid="{00000000-0005-0000-0000-00006F480000}"/>
    <cellStyle name="Note 7 3 3" xfId="3281" xr:uid="{00000000-0005-0000-0000-000070480000}"/>
    <cellStyle name="Note 7 3 3 2" xfId="7345" xr:uid="{00000000-0005-0000-0000-000071480000}"/>
    <cellStyle name="Note 7 3 3 2 2" xfId="17088" xr:uid="{00000000-0005-0000-0000-000072480000}"/>
    <cellStyle name="Note 7 3 3 2 2 2" xfId="31920" xr:uid="{00000000-0005-0000-0000-000073480000}"/>
    <cellStyle name="Note 7 3 3 2 3" xfId="23374" xr:uid="{00000000-0005-0000-0000-000074480000}"/>
    <cellStyle name="Note 7 3 3 3" xfId="13618" xr:uid="{00000000-0005-0000-0000-000075480000}"/>
    <cellStyle name="Note 7 3 3 3 2" xfId="28450" xr:uid="{00000000-0005-0000-0000-000076480000}"/>
    <cellStyle name="Note 7 3 3 4" xfId="10715" xr:uid="{00000000-0005-0000-0000-000077480000}"/>
    <cellStyle name="Note 7 3 3 4 2" xfId="25547" xr:uid="{00000000-0005-0000-0000-000078480000}"/>
    <cellStyle name="Note 7 3 3 5" xfId="21061" xr:uid="{00000000-0005-0000-0000-000079480000}"/>
    <cellStyle name="Note 7 3 4" xfId="4562" xr:uid="{00000000-0005-0000-0000-00007A480000}"/>
    <cellStyle name="Note 7 3 4 2" xfId="8601" xr:uid="{00000000-0005-0000-0000-00007B480000}"/>
    <cellStyle name="Note 7 3 4 2 2" xfId="17719" xr:uid="{00000000-0005-0000-0000-00007C480000}"/>
    <cellStyle name="Note 7 3 4 2 2 2" xfId="32551" xr:uid="{00000000-0005-0000-0000-00007D480000}"/>
    <cellStyle name="Note 7 3 4 2 3" xfId="24227" xr:uid="{00000000-0005-0000-0000-00007E480000}"/>
    <cellStyle name="Note 7 3 4 3" xfId="14889" xr:uid="{00000000-0005-0000-0000-00007F480000}"/>
    <cellStyle name="Note 7 3 4 3 2" xfId="29721" xr:uid="{00000000-0005-0000-0000-000080480000}"/>
    <cellStyle name="Note 7 3 4 4" xfId="11325" xr:uid="{00000000-0005-0000-0000-000081480000}"/>
    <cellStyle name="Note 7 3 4 4 2" xfId="26157" xr:uid="{00000000-0005-0000-0000-000082480000}"/>
    <cellStyle name="Note 7 3 4 5" xfId="21783" xr:uid="{00000000-0005-0000-0000-000083480000}"/>
    <cellStyle name="Note 7 3 5" xfId="2552" xr:uid="{00000000-0005-0000-0000-000084480000}"/>
    <cellStyle name="Note 7 3 5 2" xfId="6658" xr:uid="{00000000-0005-0000-0000-000085480000}"/>
    <cellStyle name="Note 7 3 5 2 2" xfId="16616" xr:uid="{00000000-0005-0000-0000-000086480000}"/>
    <cellStyle name="Note 7 3 5 2 2 2" xfId="31448" xr:uid="{00000000-0005-0000-0000-000087480000}"/>
    <cellStyle name="Note 7 3 5 2 3" xfId="22996" xr:uid="{00000000-0005-0000-0000-000088480000}"/>
    <cellStyle name="Note 7 3 5 3" xfId="12890" xr:uid="{00000000-0005-0000-0000-000089480000}"/>
    <cellStyle name="Note 7 3 5 3 2" xfId="27722" xr:uid="{00000000-0005-0000-0000-00008A480000}"/>
    <cellStyle name="Note 7 3 5 4" xfId="10266" xr:uid="{00000000-0005-0000-0000-00008B480000}"/>
    <cellStyle name="Note 7 3 5 4 2" xfId="25098" xr:uid="{00000000-0005-0000-0000-00008C480000}"/>
    <cellStyle name="Note 7 3 5 5" xfId="20638" xr:uid="{00000000-0005-0000-0000-00008D480000}"/>
    <cellStyle name="Note 7 3 6" xfId="5675" xr:uid="{00000000-0005-0000-0000-00008E480000}"/>
    <cellStyle name="Note 7 3 6 2" xfId="15910" xr:uid="{00000000-0005-0000-0000-00008F480000}"/>
    <cellStyle name="Note 7 3 6 2 2" xfId="30742" xr:uid="{00000000-0005-0000-0000-000090480000}"/>
    <cellStyle name="Note 7 3 6 3" xfId="22371" xr:uid="{00000000-0005-0000-0000-000091480000}"/>
    <cellStyle name="Note 7 3 7" xfId="11930" xr:uid="{00000000-0005-0000-0000-000092480000}"/>
    <cellStyle name="Note 7 3 7 2" xfId="26762" xr:uid="{00000000-0005-0000-0000-000093480000}"/>
    <cellStyle name="Note 7 3 8" xfId="9588" xr:uid="{00000000-0005-0000-0000-000094480000}"/>
    <cellStyle name="Note 7 3 8 2" xfId="19890" xr:uid="{00000000-0005-0000-0000-000095480000}"/>
    <cellStyle name="Note 7 4" xfId="1572" xr:uid="{00000000-0005-0000-0000-000096480000}"/>
    <cellStyle name="Note 7 4 2" xfId="2069" xr:uid="{00000000-0005-0000-0000-000097480000}"/>
    <cellStyle name="Note 7 4 2 2" xfId="3388" xr:uid="{00000000-0005-0000-0000-000098480000}"/>
    <cellStyle name="Note 7 4 2 2 2" xfId="7451" xr:uid="{00000000-0005-0000-0000-000099480000}"/>
    <cellStyle name="Note 7 4 2 2 2 2" xfId="17155" xr:uid="{00000000-0005-0000-0000-00009A480000}"/>
    <cellStyle name="Note 7 4 2 2 2 2 2" xfId="31987" xr:uid="{00000000-0005-0000-0000-00009B480000}"/>
    <cellStyle name="Note 7 4 2 2 2 3" xfId="23443" xr:uid="{00000000-0005-0000-0000-00009C480000}"/>
    <cellStyle name="Note 7 4 2 2 3" xfId="13725" xr:uid="{00000000-0005-0000-0000-00009D480000}"/>
    <cellStyle name="Note 7 4 2 2 3 2" xfId="28557" xr:uid="{00000000-0005-0000-0000-00009E480000}"/>
    <cellStyle name="Note 7 4 2 2 4" xfId="10774" xr:uid="{00000000-0005-0000-0000-00009F480000}"/>
    <cellStyle name="Note 7 4 2 2 4 2" xfId="25606" xr:uid="{00000000-0005-0000-0000-0000A0480000}"/>
    <cellStyle name="Note 7 4 2 2 5" xfId="21125" xr:uid="{00000000-0005-0000-0000-0000A1480000}"/>
    <cellStyle name="Note 7 4 2 3" xfId="5037" xr:uid="{00000000-0005-0000-0000-0000A2480000}"/>
    <cellStyle name="Note 7 4 2 3 2" xfId="9076" xr:uid="{00000000-0005-0000-0000-0000A3480000}"/>
    <cellStyle name="Note 7 4 2 3 2 2" xfId="18009" xr:uid="{00000000-0005-0000-0000-0000A4480000}"/>
    <cellStyle name="Note 7 4 2 3 2 2 2" xfId="32841" xr:uid="{00000000-0005-0000-0000-0000A5480000}"/>
    <cellStyle name="Note 7 4 2 3 2 3" xfId="24510" xr:uid="{00000000-0005-0000-0000-0000A6480000}"/>
    <cellStyle name="Note 7 4 2 3 3" xfId="15358" xr:uid="{00000000-0005-0000-0000-0000A7480000}"/>
    <cellStyle name="Note 7 4 2 3 3 2" xfId="30190" xr:uid="{00000000-0005-0000-0000-0000A8480000}"/>
    <cellStyle name="Note 7 4 2 3 4" xfId="11609" xr:uid="{00000000-0005-0000-0000-0000A9480000}"/>
    <cellStyle name="Note 7 4 2 3 4 2" xfId="26441" xr:uid="{00000000-0005-0000-0000-0000AA480000}"/>
    <cellStyle name="Note 7 4 2 3 5" xfId="22030" xr:uid="{00000000-0005-0000-0000-0000AB480000}"/>
    <cellStyle name="Note 7 4 2 4" xfId="3027" xr:uid="{00000000-0005-0000-0000-0000AC480000}"/>
    <cellStyle name="Note 7 4 2 4 2" xfId="7102" xr:uid="{00000000-0005-0000-0000-0000AD480000}"/>
    <cellStyle name="Note 7 4 2 4 2 2" xfId="16900" xr:uid="{00000000-0005-0000-0000-0000AE480000}"/>
    <cellStyle name="Note 7 4 2 4 2 2 2" xfId="31732" xr:uid="{00000000-0005-0000-0000-0000AF480000}"/>
    <cellStyle name="Note 7 4 2 4 2 3" xfId="23243" xr:uid="{00000000-0005-0000-0000-0000B0480000}"/>
    <cellStyle name="Note 7 4 2 4 3" xfId="13365" xr:uid="{00000000-0005-0000-0000-0000B1480000}"/>
    <cellStyle name="Note 7 4 2 4 3 2" xfId="28197" xr:uid="{00000000-0005-0000-0000-0000B2480000}"/>
    <cellStyle name="Note 7 4 2 4 4" xfId="10556" xr:uid="{00000000-0005-0000-0000-0000B3480000}"/>
    <cellStyle name="Note 7 4 2 4 4 2" xfId="25388" xr:uid="{00000000-0005-0000-0000-0000B4480000}"/>
    <cellStyle name="Note 7 4 2 4 5" xfId="20921" xr:uid="{00000000-0005-0000-0000-0000B5480000}"/>
    <cellStyle name="Note 7 4 2 5" xfId="6194" xr:uid="{00000000-0005-0000-0000-0000B6480000}"/>
    <cellStyle name="Note 7 4 2 5 2" xfId="16380" xr:uid="{00000000-0005-0000-0000-0000B7480000}"/>
    <cellStyle name="Note 7 4 2 5 2 2" xfId="31212" xr:uid="{00000000-0005-0000-0000-0000B8480000}"/>
    <cellStyle name="Note 7 4 2 5 3" xfId="22694" xr:uid="{00000000-0005-0000-0000-0000B9480000}"/>
    <cellStyle name="Note 7 4 2 6" xfId="12450" xr:uid="{00000000-0005-0000-0000-0000BA480000}"/>
    <cellStyle name="Note 7 4 2 6 2" xfId="27282" xr:uid="{00000000-0005-0000-0000-0000BB480000}"/>
    <cellStyle name="Note 7 4 2 7" xfId="10032" xr:uid="{00000000-0005-0000-0000-0000BC480000}"/>
    <cellStyle name="Note 7 4 2 7 2" xfId="24864" xr:uid="{00000000-0005-0000-0000-0000BD480000}"/>
    <cellStyle name="Note 7 4 2 8" xfId="20373" xr:uid="{00000000-0005-0000-0000-0000BE480000}"/>
    <cellStyle name="Note 7 4 3" xfId="3698" xr:uid="{00000000-0005-0000-0000-0000BF480000}"/>
    <cellStyle name="Note 7 4 3 2" xfId="7754" xr:uid="{00000000-0005-0000-0000-0000C0480000}"/>
    <cellStyle name="Note 7 4 3 2 2" xfId="17322" xr:uid="{00000000-0005-0000-0000-0000C1480000}"/>
    <cellStyle name="Note 7 4 3 2 2 2" xfId="32154" xr:uid="{00000000-0005-0000-0000-0000C2480000}"/>
    <cellStyle name="Note 7 4 3 2 3" xfId="23638" xr:uid="{00000000-0005-0000-0000-0000C3480000}"/>
    <cellStyle name="Note 7 4 3 3" xfId="14033" xr:uid="{00000000-0005-0000-0000-0000C4480000}"/>
    <cellStyle name="Note 7 4 3 3 2" xfId="28865" xr:uid="{00000000-0005-0000-0000-0000C5480000}"/>
    <cellStyle name="Note 7 4 3 4" xfId="10940" xr:uid="{00000000-0005-0000-0000-0000C6480000}"/>
    <cellStyle name="Note 7 4 3 4 2" xfId="25772" xr:uid="{00000000-0005-0000-0000-0000C7480000}"/>
    <cellStyle name="Note 7 4 3 5" xfId="21299" xr:uid="{00000000-0005-0000-0000-0000C8480000}"/>
    <cellStyle name="Note 7 4 4" xfId="4617" xr:uid="{00000000-0005-0000-0000-0000C9480000}"/>
    <cellStyle name="Note 7 4 4 2" xfId="8656" xr:uid="{00000000-0005-0000-0000-0000CA480000}"/>
    <cellStyle name="Note 7 4 4 2 2" xfId="17769" xr:uid="{00000000-0005-0000-0000-0000CB480000}"/>
    <cellStyle name="Note 7 4 4 2 2 2" xfId="32601" xr:uid="{00000000-0005-0000-0000-0000CC480000}"/>
    <cellStyle name="Note 7 4 4 2 3" xfId="24250" xr:uid="{00000000-0005-0000-0000-0000CD480000}"/>
    <cellStyle name="Note 7 4 4 3" xfId="14943" xr:uid="{00000000-0005-0000-0000-0000CE480000}"/>
    <cellStyle name="Note 7 4 4 3 2" xfId="29775" xr:uid="{00000000-0005-0000-0000-0000CF480000}"/>
    <cellStyle name="Note 7 4 4 4" xfId="11374" xr:uid="{00000000-0005-0000-0000-0000D0480000}"/>
    <cellStyle name="Note 7 4 4 4 2" xfId="26206" xr:uid="{00000000-0005-0000-0000-0000D1480000}"/>
    <cellStyle name="Note 7 4 4 5" xfId="21800" xr:uid="{00000000-0005-0000-0000-0000D2480000}"/>
    <cellStyle name="Note 7 4 5" xfId="2607" xr:uid="{00000000-0005-0000-0000-0000D3480000}"/>
    <cellStyle name="Note 7 4 5 2" xfId="6708" xr:uid="{00000000-0005-0000-0000-0000D4480000}"/>
    <cellStyle name="Note 7 4 5 2 2" xfId="16665" xr:uid="{00000000-0005-0000-0000-0000D5480000}"/>
    <cellStyle name="Note 7 4 5 2 2 2" xfId="31497" xr:uid="{00000000-0005-0000-0000-0000D6480000}"/>
    <cellStyle name="Note 7 4 5 2 3" xfId="23013" xr:uid="{00000000-0005-0000-0000-0000D7480000}"/>
    <cellStyle name="Note 7 4 5 3" xfId="12945" xr:uid="{00000000-0005-0000-0000-0000D8480000}"/>
    <cellStyle name="Note 7 4 5 3 2" xfId="27777" xr:uid="{00000000-0005-0000-0000-0000D9480000}"/>
    <cellStyle name="Note 7 4 5 4" xfId="10316" xr:uid="{00000000-0005-0000-0000-0000DA480000}"/>
    <cellStyle name="Note 7 4 5 4 2" xfId="25148" xr:uid="{00000000-0005-0000-0000-0000DB480000}"/>
    <cellStyle name="Note 7 4 5 5" xfId="20661" xr:uid="{00000000-0005-0000-0000-0000DC480000}"/>
    <cellStyle name="Note 7 4 6" xfId="5724" xr:uid="{00000000-0005-0000-0000-0000DD480000}"/>
    <cellStyle name="Note 7 4 6 2" xfId="15959" xr:uid="{00000000-0005-0000-0000-0000DE480000}"/>
    <cellStyle name="Note 7 4 6 2 2" xfId="30791" xr:uid="{00000000-0005-0000-0000-0000DF480000}"/>
    <cellStyle name="Note 7 4 6 3" xfId="22388" xr:uid="{00000000-0005-0000-0000-0000E0480000}"/>
    <cellStyle name="Note 7 4 7" xfId="11979" xr:uid="{00000000-0005-0000-0000-0000E1480000}"/>
    <cellStyle name="Note 7 4 7 2" xfId="26811" xr:uid="{00000000-0005-0000-0000-0000E2480000}"/>
    <cellStyle name="Note 7 4 8" xfId="9638" xr:uid="{00000000-0005-0000-0000-0000E3480000}"/>
    <cellStyle name="Note 7 4 8 2" xfId="19939" xr:uid="{00000000-0005-0000-0000-0000E4480000}"/>
    <cellStyle name="Note 7 5" xfId="1622" xr:uid="{00000000-0005-0000-0000-0000E5480000}"/>
    <cellStyle name="Note 7 5 2" xfId="2119" xr:uid="{00000000-0005-0000-0000-0000E6480000}"/>
    <cellStyle name="Note 7 5 2 2" xfId="3534" xr:uid="{00000000-0005-0000-0000-0000E7480000}"/>
    <cellStyle name="Note 7 5 2 2 2" xfId="7596" xr:uid="{00000000-0005-0000-0000-0000E8480000}"/>
    <cellStyle name="Note 7 5 2 2 2 2" xfId="17240" xr:uid="{00000000-0005-0000-0000-0000E9480000}"/>
    <cellStyle name="Note 7 5 2 2 2 2 2" xfId="32072" xr:uid="{00000000-0005-0000-0000-0000EA480000}"/>
    <cellStyle name="Note 7 5 2 2 2 3" xfId="23539" xr:uid="{00000000-0005-0000-0000-0000EB480000}"/>
    <cellStyle name="Note 7 5 2 2 3" xfId="13871" xr:uid="{00000000-0005-0000-0000-0000EC480000}"/>
    <cellStyle name="Note 7 5 2 2 3 2" xfId="28703" xr:uid="{00000000-0005-0000-0000-0000ED480000}"/>
    <cellStyle name="Note 7 5 2 2 4" xfId="10858" xr:uid="{00000000-0005-0000-0000-0000EE480000}"/>
    <cellStyle name="Note 7 5 2 2 4 2" xfId="25690" xr:uid="{00000000-0005-0000-0000-0000EF480000}"/>
    <cellStyle name="Note 7 5 2 2 5" xfId="21213" xr:uid="{00000000-0005-0000-0000-0000F0480000}"/>
    <cellStyle name="Note 7 5 2 3" xfId="5087" xr:uid="{00000000-0005-0000-0000-0000F1480000}"/>
    <cellStyle name="Note 7 5 2 3 2" xfId="9126" xr:uid="{00000000-0005-0000-0000-0000F2480000}"/>
    <cellStyle name="Note 7 5 2 3 2 2" xfId="18054" xr:uid="{00000000-0005-0000-0000-0000F3480000}"/>
    <cellStyle name="Note 7 5 2 3 2 2 2" xfId="32886" xr:uid="{00000000-0005-0000-0000-0000F4480000}"/>
    <cellStyle name="Note 7 5 2 3 2 3" xfId="24528" xr:uid="{00000000-0005-0000-0000-0000F5480000}"/>
    <cellStyle name="Note 7 5 2 3 3" xfId="15407" xr:uid="{00000000-0005-0000-0000-0000F6480000}"/>
    <cellStyle name="Note 7 5 2 3 3 2" xfId="30239" xr:uid="{00000000-0005-0000-0000-0000F7480000}"/>
    <cellStyle name="Note 7 5 2 3 4" xfId="11653" xr:uid="{00000000-0005-0000-0000-0000F8480000}"/>
    <cellStyle name="Note 7 5 2 3 4 2" xfId="26485" xr:uid="{00000000-0005-0000-0000-0000F9480000}"/>
    <cellStyle name="Note 7 5 2 3 5" xfId="22042" xr:uid="{00000000-0005-0000-0000-0000FA480000}"/>
    <cellStyle name="Note 7 5 2 4" xfId="3077" xr:uid="{00000000-0005-0000-0000-0000FB480000}"/>
    <cellStyle name="Note 7 5 2 4 2" xfId="7147" xr:uid="{00000000-0005-0000-0000-0000FC480000}"/>
    <cellStyle name="Note 7 5 2 4 2 2" xfId="16944" xr:uid="{00000000-0005-0000-0000-0000FD480000}"/>
    <cellStyle name="Note 7 5 2 4 2 2 2" xfId="31776" xr:uid="{00000000-0005-0000-0000-0000FE480000}"/>
    <cellStyle name="Note 7 5 2 4 2 3" xfId="23255" xr:uid="{00000000-0005-0000-0000-0000FF480000}"/>
    <cellStyle name="Note 7 5 2 4 3" xfId="13415" xr:uid="{00000000-0005-0000-0000-000000490000}"/>
    <cellStyle name="Note 7 5 2 4 3 2" xfId="28247" xr:uid="{00000000-0005-0000-0000-000001490000}"/>
    <cellStyle name="Note 7 5 2 4 4" xfId="10601" xr:uid="{00000000-0005-0000-0000-000002490000}"/>
    <cellStyle name="Note 7 5 2 4 4 2" xfId="25433" xr:uid="{00000000-0005-0000-0000-000003490000}"/>
    <cellStyle name="Note 7 5 2 4 5" xfId="20939" xr:uid="{00000000-0005-0000-0000-000004490000}"/>
    <cellStyle name="Note 7 5 2 5" xfId="6239" xr:uid="{00000000-0005-0000-0000-000005490000}"/>
    <cellStyle name="Note 7 5 2 5 2" xfId="16424" xr:uid="{00000000-0005-0000-0000-000006490000}"/>
    <cellStyle name="Note 7 5 2 5 2 2" xfId="31256" xr:uid="{00000000-0005-0000-0000-000007490000}"/>
    <cellStyle name="Note 7 5 2 5 3" xfId="22706" xr:uid="{00000000-0005-0000-0000-000008490000}"/>
    <cellStyle name="Note 7 5 2 6" xfId="12494" xr:uid="{00000000-0005-0000-0000-000009490000}"/>
    <cellStyle name="Note 7 5 2 6 2" xfId="27326" xr:uid="{00000000-0005-0000-0000-00000A490000}"/>
    <cellStyle name="Note 7 5 2 7" xfId="10076" xr:uid="{00000000-0005-0000-0000-00000B490000}"/>
    <cellStyle name="Note 7 5 2 7 2" xfId="24908" xr:uid="{00000000-0005-0000-0000-00000C490000}"/>
    <cellStyle name="Note 7 5 2 8" xfId="20385" xr:uid="{00000000-0005-0000-0000-00000D490000}"/>
    <cellStyle name="Note 7 5 3" xfId="3794" xr:uid="{00000000-0005-0000-0000-00000E490000}"/>
    <cellStyle name="Note 7 5 3 2" xfId="7849" xr:uid="{00000000-0005-0000-0000-00000F490000}"/>
    <cellStyle name="Note 7 5 3 2 2" xfId="17368" xr:uid="{00000000-0005-0000-0000-000010490000}"/>
    <cellStyle name="Note 7 5 3 2 2 2" xfId="32200" xr:uid="{00000000-0005-0000-0000-000011490000}"/>
    <cellStyle name="Note 7 5 3 2 3" xfId="23704" xr:uid="{00000000-0005-0000-0000-000012490000}"/>
    <cellStyle name="Note 7 5 3 3" xfId="14129" xr:uid="{00000000-0005-0000-0000-000013490000}"/>
    <cellStyle name="Note 7 5 3 3 2" xfId="28961" xr:uid="{00000000-0005-0000-0000-000014490000}"/>
    <cellStyle name="Note 7 5 3 4" xfId="10985" xr:uid="{00000000-0005-0000-0000-000015490000}"/>
    <cellStyle name="Note 7 5 3 4 2" xfId="25817" xr:uid="{00000000-0005-0000-0000-000016490000}"/>
    <cellStyle name="Note 7 5 3 5" xfId="21356" xr:uid="{00000000-0005-0000-0000-000017490000}"/>
    <cellStyle name="Note 7 5 4" xfId="4667" xr:uid="{00000000-0005-0000-0000-000018490000}"/>
    <cellStyle name="Note 7 5 4 2" xfId="8706" xr:uid="{00000000-0005-0000-0000-000019490000}"/>
    <cellStyle name="Note 7 5 4 2 2" xfId="17814" xr:uid="{00000000-0005-0000-0000-00001A490000}"/>
    <cellStyle name="Note 7 5 4 2 2 2" xfId="32646" xr:uid="{00000000-0005-0000-0000-00001B490000}"/>
    <cellStyle name="Note 7 5 4 2 3" xfId="24268" xr:uid="{00000000-0005-0000-0000-00001C490000}"/>
    <cellStyle name="Note 7 5 4 3" xfId="14992" xr:uid="{00000000-0005-0000-0000-00001D490000}"/>
    <cellStyle name="Note 7 5 4 3 2" xfId="29824" xr:uid="{00000000-0005-0000-0000-00001E490000}"/>
    <cellStyle name="Note 7 5 4 4" xfId="11418" xr:uid="{00000000-0005-0000-0000-00001F490000}"/>
    <cellStyle name="Note 7 5 4 4 2" xfId="26250" xr:uid="{00000000-0005-0000-0000-000020490000}"/>
    <cellStyle name="Note 7 5 4 5" xfId="21812" xr:uid="{00000000-0005-0000-0000-000021490000}"/>
    <cellStyle name="Note 7 5 5" xfId="2657" xr:uid="{00000000-0005-0000-0000-000022490000}"/>
    <cellStyle name="Note 7 5 5 2" xfId="6753" xr:uid="{00000000-0005-0000-0000-000023490000}"/>
    <cellStyle name="Note 7 5 5 2 2" xfId="16709" xr:uid="{00000000-0005-0000-0000-000024490000}"/>
    <cellStyle name="Note 7 5 5 2 2 2" xfId="31541" xr:uid="{00000000-0005-0000-0000-000025490000}"/>
    <cellStyle name="Note 7 5 5 2 3" xfId="23025" xr:uid="{00000000-0005-0000-0000-000026490000}"/>
    <cellStyle name="Note 7 5 5 3" xfId="12995" xr:uid="{00000000-0005-0000-0000-000027490000}"/>
    <cellStyle name="Note 7 5 5 3 2" xfId="27827" xr:uid="{00000000-0005-0000-0000-000028490000}"/>
    <cellStyle name="Note 7 5 5 4" xfId="10361" xr:uid="{00000000-0005-0000-0000-000029490000}"/>
    <cellStyle name="Note 7 5 5 4 2" xfId="25193" xr:uid="{00000000-0005-0000-0000-00002A490000}"/>
    <cellStyle name="Note 7 5 5 5" xfId="20679" xr:uid="{00000000-0005-0000-0000-00002B490000}"/>
    <cellStyle name="Note 7 5 6" xfId="5769" xr:uid="{00000000-0005-0000-0000-00002C490000}"/>
    <cellStyle name="Note 7 5 6 2" xfId="16003" xr:uid="{00000000-0005-0000-0000-00002D490000}"/>
    <cellStyle name="Note 7 5 6 2 2" xfId="30835" xr:uid="{00000000-0005-0000-0000-00002E490000}"/>
    <cellStyle name="Note 7 5 6 3" xfId="22400" xr:uid="{00000000-0005-0000-0000-00002F490000}"/>
    <cellStyle name="Note 7 5 7" xfId="12023" xr:uid="{00000000-0005-0000-0000-000030490000}"/>
    <cellStyle name="Note 7 5 7 2" xfId="26855" xr:uid="{00000000-0005-0000-0000-000031490000}"/>
    <cellStyle name="Note 7 5 8" xfId="9683" xr:uid="{00000000-0005-0000-0000-000032490000}"/>
    <cellStyle name="Note 7 5 8 2" xfId="19983" xr:uid="{00000000-0005-0000-0000-000033490000}"/>
    <cellStyle name="Note 7 6" xfId="1773" xr:uid="{00000000-0005-0000-0000-000034490000}"/>
    <cellStyle name="Note 7 6 2" xfId="3592" xr:uid="{00000000-0005-0000-0000-000035490000}"/>
    <cellStyle name="Note 7 6 2 2" xfId="7654" xr:uid="{00000000-0005-0000-0000-000036490000}"/>
    <cellStyle name="Note 7 6 2 2 2" xfId="17275" xr:uid="{00000000-0005-0000-0000-000037490000}"/>
    <cellStyle name="Note 7 6 2 2 2 2" xfId="32107" xr:uid="{00000000-0005-0000-0000-000038490000}"/>
    <cellStyle name="Note 7 6 2 2 3" xfId="23570" xr:uid="{00000000-0005-0000-0000-000039490000}"/>
    <cellStyle name="Note 7 6 2 3" xfId="13928" xr:uid="{00000000-0005-0000-0000-00003A490000}"/>
    <cellStyle name="Note 7 6 2 3 2" xfId="28760" xr:uid="{00000000-0005-0000-0000-00003B490000}"/>
    <cellStyle name="Note 7 6 2 4" xfId="10892" xr:uid="{00000000-0005-0000-0000-00003C490000}"/>
    <cellStyle name="Note 7 6 2 4 2" xfId="25724" xr:uid="{00000000-0005-0000-0000-00003D490000}"/>
    <cellStyle name="Note 7 6 2 5" xfId="21239" xr:uid="{00000000-0005-0000-0000-00003E490000}"/>
    <cellStyle name="Note 7 6 3" xfId="4751" xr:uid="{00000000-0005-0000-0000-00003F490000}"/>
    <cellStyle name="Note 7 6 3 2" xfId="8790" xr:uid="{00000000-0005-0000-0000-000040490000}"/>
    <cellStyle name="Note 7 6 3 2 2" xfId="17862" xr:uid="{00000000-0005-0000-0000-000041490000}"/>
    <cellStyle name="Note 7 6 3 2 2 2" xfId="32694" xr:uid="{00000000-0005-0000-0000-000042490000}"/>
    <cellStyle name="Note 7 6 3 2 3" xfId="24320" xr:uid="{00000000-0005-0000-0000-000043490000}"/>
    <cellStyle name="Note 7 6 3 3" xfId="15075" xr:uid="{00000000-0005-0000-0000-000044490000}"/>
    <cellStyle name="Note 7 6 3 3 2" xfId="29907" xr:uid="{00000000-0005-0000-0000-000045490000}"/>
    <cellStyle name="Note 7 6 3 4" xfId="11465" xr:uid="{00000000-0005-0000-0000-000046490000}"/>
    <cellStyle name="Note 7 6 3 4 2" xfId="26297" xr:uid="{00000000-0005-0000-0000-000047490000}"/>
    <cellStyle name="Note 7 6 3 5" xfId="21858" xr:uid="{00000000-0005-0000-0000-000048490000}"/>
    <cellStyle name="Note 7 6 4" xfId="2741" xr:uid="{00000000-0005-0000-0000-000049490000}"/>
    <cellStyle name="Note 7 6 4 2" xfId="6832" xr:uid="{00000000-0005-0000-0000-00004A490000}"/>
    <cellStyle name="Note 7 6 4 2 2" xfId="16756" xr:uid="{00000000-0005-0000-0000-00004B490000}"/>
    <cellStyle name="Note 7 6 4 2 2 2" xfId="31588" xr:uid="{00000000-0005-0000-0000-00004C490000}"/>
    <cellStyle name="Note 7 6 4 2 3" xfId="23071" xr:uid="{00000000-0005-0000-0000-00004D490000}"/>
    <cellStyle name="Note 7 6 4 3" xfId="13079" xr:uid="{00000000-0005-0000-0000-00004E490000}"/>
    <cellStyle name="Note 7 6 4 3 2" xfId="27911" xr:uid="{00000000-0005-0000-0000-00004F490000}"/>
    <cellStyle name="Note 7 6 4 4" xfId="10409" xr:uid="{00000000-0005-0000-0000-000050490000}"/>
    <cellStyle name="Note 7 6 4 4 2" xfId="25241" xr:uid="{00000000-0005-0000-0000-000051490000}"/>
    <cellStyle name="Note 7 6 4 5" xfId="20731" xr:uid="{00000000-0005-0000-0000-000052490000}"/>
    <cellStyle name="Note 7 6 5" xfId="5905" xr:uid="{00000000-0005-0000-0000-000053490000}"/>
    <cellStyle name="Note 7 6 5 2" xfId="16097" xr:uid="{00000000-0005-0000-0000-000054490000}"/>
    <cellStyle name="Note 7 6 5 2 2" xfId="30929" xr:uid="{00000000-0005-0000-0000-000055490000}"/>
    <cellStyle name="Note 7 6 5 3" xfId="22502" xr:uid="{00000000-0005-0000-0000-000056490000}"/>
    <cellStyle name="Note 7 6 6" xfId="12167" xr:uid="{00000000-0005-0000-0000-000057490000}"/>
    <cellStyle name="Note 7 6 6 2" xfId="26999" xr:uid="{00000000-0005-0000-0000-000058490000}"/>
    <cellStyle name="Note 7 6 7" xfId="9763" xr:uid="{00000000-0005-0000-0000-000059490000}"/>
    <cellStyle name="Note 7 6 7 2" xfId="24720" xr:uid="{00000000-0005-0000-0000-00005A490000}"/>
    <cellStyle name="Note 7 6 8" xfId="20310" xr:uid="{00000000-0005-0000-0000-00005B490000}"/>
    <cellStyle name="Note 7 7" xfId="2193" xr:uid="{00000000-0005-0000-0000-00005C490000}"/>
    <cellStyle name="Note 7 7 2" xfId="3801" xr:uid="{00000000-0005-0000-0000-00005D490000}"/>
    <cellStyle name="Note 7 7 2 2" xfId="7856" xr:uid="{00000000-0005-0000-0000-00005E490000}"/>
    <cellStyle name="Note 7 7 2 2 2" xfId="17371" xr:uid="{00000000-0005-0000-0000-00005F490000}"/>
    <cellStyle name="Note 7 7 2 2 2 2" xfId="32203" xr:uid="{00000000-0005-0000-0000-000060490000}"/>
    <cellStyle name="Note 7 7 2 2 3" xfId="23709" xr:uid="{00000000-0005-0000-0000-000061490000}"/>
    <cellStyle name="Note 7 7 2 3" xfId="14136" xr:uid="{00000000-0005-0000-0000-000062490000}"/>
    <cellStyle name="Note 7 7 2 3 2" xfId="28968" xr:uid="{00000000-0005-0000-0000-000063490000}"/>
    <cellStyle name="Note 7 7 2 4" xfId="10988" xr:uid="{00000000-0005-0000-0000-000064490000}"/>
    <cellStyle name="Note 7 7 2 4 2" xfId="25820" xr:uid="{00000000-0005-0000-0000-000065490000}"/>
    <cellStyle name="Note 7 7 2 5" xfId="21360" xr:uid="{00000000-0005-0000-0000-000066490000}"/>
    <cellStyle name="Note 7 7 3" xfId="5161" xr:uid="{00000000-0005-0000-0000-000067490000}"/>
    <cellStyle name="Note 7 7 3 2" xfId="9200" xr:uid="{00000000-0005-0000-0000-000068490000}"/>
    <cellStyle name="Note 7 7 3 2 2" xfId="18123" xr:uid="{00000000-0005-0000-0000-000069490000}"/>
    <cellStyle name="Note 7 7 3 2 2 2" xfId="32955" xr:uid="{00000000-0005-0000-0000-00006A490000}"/>
    <cellStyle name="Note 7 7 3 2 3" xfId="24538" xr:uid="{00000000-0005-0000-0000-00006B490000}"/>
    <cellStyle name="Note 7 7 3 3" xfId="15479" xr:uid="{00000000-0005-0000-0000-00006C490000}"/>
    <cellStyle name="Note 7 7 3 3 2" xfId="30311" xr:uid="{00000000-0005-0000-0000-00006D490000}"/>
    <cellStyle name="Note 7 7 3 4" xfId="11720" xr:uid="{00000000-0005-0000-0000-00006E490000}"/>
    <cellStyle name="Note 7 7 3 4 2" xfId="26552" xr:uid="{00000000-0005-0000-0000-00006F490000}"/>
    <cellStyle name="Note 7 7 3 5" xfId="22045" xr:uid="{00000000-0005-0000-0000-000070490000}"/>
    <cellStyle name="Note 7 7 4" xfId="4191" xr:uid="{00000000-0005-0000-0000-000071490000}"/>
    <cellStyle name="Note 7 7 4 2" xfId="8232" xr:uid="{00000000-0005-0000-0000-000072490000}"/>
    <cellStyle name="Note 7 7 4 2 2" xfId="17579" xr:uid="{00000000-0005-0000-0000-000073490000}"/>
    <cellStyle name="Note 7 7 4 2 2 2" xfId="32411" xr:uid="{00000000-0005-0000-0000-000074490000}"/>
    <cellStyle name="Note 7 7 4 2 3" xfId="23927" xr:uid="{00000000-0005-0000-0000-000075490000}"/>
    <cellStyle name="Note 7 7 4 3" xfId="14523" xr:uid="{00000000-0005-0000-0000-000076490000}"/>
    <cellStyle name="Note 7 7 4 3 2" xfId="29355" xr:uid="{00000000-0005-0000-0000-000077490000}"/>
    <cellStyle name="Note 7 7 4 4" xfId="11199" xr:uid="{00000000-0005-0000-0000-000078490000}"/>
    <cellStyle name="Note 7 7 4 4 2" xfId="26031" xr:uid="{00000000-0005-0000-0000-000079490000}"/>
    <cellStyle name="Note 7 7 4 5" xfId="21552" xr:uid="{00000000-0005-0000-0000-00007A490000}"/>
    <cellStyle name="Note 7 7 5" xfId="6307" xr:uid="{00000000-0005-0000-0000-00007B490000}"/>
    <cellStyle name="Note 7 7 5 2" xfId="16491" xr:uid="{00000000-0005-0000-0000-00007C490000}"/>
    <cellStyle name="Note 7 7 5 2 2" xfId="31323" xr:uid="{00000000-0005-0000-0000-00007D490000}"/>
    <cellStyle name="Note 7 7 5 3" xfId="22709" xr:uid="{00000000-0005-0000-0000-00007E490000}"/>
    <cellStyle name="Note 7 7 6" xfId="12561" xr:uid="{00000000-0005-0000-0000-00007F490000}"/>
    <cellStyle name="Note 7 7 6 2" xfId="27393" xr:uid="{00000000-0005-0000-0000-000080490000}"/>
    <cellStyle name="Note 7 7 7" xfId="10143" xr:uid="{00000000-0005-0000-0000-000081490000}"/>
    <cellStyle name="Note 7 7 7 2" xfId="24975" xr:uid="{00000000-0005-0000-0000-000082490000}"/>
    <cellStyle name="Note 7 7 8" xfId="20388" xr:uid="{00000000-0005-0000-0000-000083490000}"/>
    <cellStyle name="Note 7 8" xfId="3298" xr:uid="{00000000-0005-0000-0000-000084490000}"/>
    <cellStyle name="Note 7 8 2" xfId="7362" xr:uid="{00000000-0005-0000-0000-000085490000}"/>
    <cellStyle name="Note 7 8 2 2" xfId="17103" xr:uid="{00000000-0005-0000-0000-000086490000}"/>
    <cellStyle name="Note 7 8 2 2 2" xfId="31935" xr:uid="{00000000-0005-0000-0000-000087490000}"/>
    <cellStyle name="Note 7 8 2 3" xfId="23385" xr:uid="{00000000-0005-0000-0000-000088490000}"/>
    <cellStyle name="Note 7 8 3" xfId="13635" xr:uid="{00000000-0005-0000-0000-000089490000}"/>
    <cellStyle name="Note 7 8 3 2" xfId="28467" xr:uid="{00000000-0005-0000-0000-00008A490000}"/>
    <cellStyle name="Note 7 8 4" xfId="10727" xr:uid="{00000000-0005-0000-0000-00008B490000}"/>
    <cellStyle name="Note 7 8 4 2" xfId="25559" xr:uid="{00000000-0005-0000-0000-00008C490000}"/>
    <cellStyle name="Note 7 8 5" xfId="21072" xr:uid="{00000000-0005-0000-0000-00008D490000}"/>
    <cellStyle name="Note 7 9" xfId="3344" xr:uid="{00000000-0005-0000-0000-00008E490000}"/>
    <cellStyle name="Note 7 9 2" xfId="7407" xr:uid="{00000000-0005-0000-0000-00008F490000}"/>
    <cellStyle name="Note 7 9 2 2" xfId="17135" xr:uid="{00000000-0005-0000-0000-000090490000}"/>
    <cellStyle name="Note 7 9 2 2 2" xfId="31967" xr:uid="{00000000-0005-0000-0000-000091490000}"/>
    <cellStyle name="Note 7 9 2 3" xfId="23412" xr:uid="{00000000-0005-0000-0000-000092490000}"/>
    <cellStyle name="Note 7 9 3" xfId="13681" xr:uid="{00000000-0005-0000-0000-000093490000}"/>
    <cellStyle name="Note 7 9 3 2" xfId="28513" xr:uid="{00000000-0005-0000-0000-000094490000}"/>
    <cellStyle name="Note 7 9 4" xfId="10754" xr:uid="{00000000-0005-0000-0000-000095490000}"/>
    <cellStyle name="Note 7 9 4 2" xfId="25586" xr:uid="{00000000-0005-0000-0000-000096490000}"/>
    <cellStyle name="Note 7 9 5" xfId="21099" xr:uid="{00000000-0005-0000-0000-000097490000}"/>
    <cellStyle name="Note 8" xfId="1229" xr:uid="{00000000-0005-0000-0000-000098490000}"/>
    <cellStyle name="Note 8 10" xfId="2315" xr:uid="{00000000-0005-0000-0000-000099490000}"/>
    <cellStyle name="Note 8 10 2" xfId="6427" xr:uid="{00000000-0005-0000-0000-00009A490000}"/>
    <cellStyle name="Note 8 10 2 2" xfId="16520" xr:uid="{00000000-0005-0000-0000-00009B490000}"/>
    <cellStyle name="Note 8 10 2 2 2" xfId="31352" xr:uid="{00000000-0005-0000-0000-00009C490000}"/>
    <cellStyle name="Note 8 10 2 3" xfId="22829" xr:uid="{00000000-0005-0000-0000-00009D490000}"/>
    <cellStyle name="Note 8 10 3" xfId="12655" xr:uid="{00000000-0005-0000-0000-00009E490000}"/>
    <cellStyle name="Note 8 10 3 2" xfId="27487" xr:uid="{00000000-0005-0000-0000-00009F490000}"/>
    <cellStyle name="Note 8 10 4" xfId="10171" xr:uid="{00000000-0005-0000-0000-0000A0490000}"/>
    <cellStyle name="Note 8 10 4 2" xfId="25003" xr:uid="{00000000-0005-0000-0000-0000A1490000}"/>
    <cellStyle name="Note 8 10 5" xfId="20478" xr:uid="{00000000-0005-0000-0000-0000A2490000}"/>
    <cellStyle name="Note 8 11" xfId="5278" xr:uid="{00000000-0005-0000-0000-0000A3490000}"/>
    <cellStyle name="Note 8 11 2" xfId="9286" xr:uid="{00000000-0005-0000-0000-0000A4490000}"/>
    <cellStyle name="Note 8 11 2 2" xfId="18153" xr:uid="{00000000-0005-0000-0000-0000A5490000}"/>
    <cellStyle name="Note 8 11 2 2 2" xfId="32985" xr:uid="{00000000-0005-0000-0000-0000A6490000}"/>
    <cellStyle name="Note 8 11 2 3" xfId="24624" xr:uid="{00000000-0005-0000-0000-0000A7490000}"/>
    <cellStyle name="Note 8 11 3" xfId="15594" xr:uid="{00000000-0005-0000-0000-0000A8490000}"/>
    <cellStyle name="Note 8 11 3 2" xfId="30426" xr:uid="{00000000-0005-0000-0000-0000A9490000}"/>
    <cellStyle name="Note 8 11 4" xfId="22135" xr:uid="{00000000-0005-0000-0000-0000AA490000}"/>
    <cellStyle name="Note 8 12" xfId="5436" xr:uid="{00000000-0005-0000-0000-0000AB490000}"/>
    <cellStyle name="Note 8 12 2" xfId="15672" xr:uid="{00000000-0005-0000-0000-0000AC490000}"/>
    <cellStyle name="Note 8 12 2 2" xfId="30504" xr:uid="{00000000-0005-0000-0000-0000AD490000}"/>
    <cellStyle name="Note 8 12 3" xfId="22197" xr:uid="{00000000-0005-0000-0000-0000AE490000}"/>
    <cellStyle name="Note 8 13" xfId="9355" xr:uid="{00000000-0005-0000-0000-0000AF490000}"/>
    <cellStyle name="Note 8 13 2" xfId="24661" xr:uid="{00000000-0005-0000-0000-0000B0490000}"/>
    <cellStyle name="Note 8 14" xfId="5344" xr:uid="{00000000-0005-0000-0000-0000B1490000}"/>
    <cellStyle name="Note 8 14 2" xfId="18218" xr:uid="{00000000-0005-0000-0000-0000B2490000}"/>
    <cellStyle name="Note 8 2" xfId="1348" xr:uid="{00000000-0005-0000-0000-0000B3490000}"/>
    <cellStyle name="Note 8 2 2" xfId="1852" xr:uid="{00000000-0005-0000-0000-0000B4490000}"/>
    <cellStyle name="Note 8 2 2 2" xfId="4142" xr:uid="{00000000-0005-0000-0000-0000B5490000}"/>
    <cellStyle name="Note 8 2 2 2 2" xfId="8186" xr:uid="{00000000-0005-0000-0000-0000B6490000}"/>
    <cellStyle name="Note 8 2 2 2 2 2" xfId="17541" xr:uid="{00000000-0005-0000-0000-0000B7490000}"/>
    <cellStyle name="Note 8 2 2 2 2 2 2" xfId="32373" xr:uid="{00000000-0005-0000-0000-0000B8490000}"/>
    <cellStyle name="Note 8 2 2 2 2 3" xfId="23915" xr:uid="{00000000-0005-0000-0000-0000B9490000}"/>
    <cellStyle name="Note 8 2 2 2 3" xfId="14474" xr:uid="{00000000-0005-0000-0000-0000BA490000}"/>
    <cellStyle name="Note 8 2 2 2 3 2" xfId="29306" xr:uid="{00000000-0005-0000-0000-0000BB490000}"/>
    <cellStyle name="Note 8 2 2 2 4" xfId="11159" xr:uid="{00000000-0005-0000-0000-0000BC490000}"/>
    <cellStyle name="Note 8 2 2 2 4 2" xfId="25991" xr:uid="{00000000-0005-0000-0000-0000BD490000}"/>
    <cellStyle name="Note 8 2 2 2 5" xfId="21542" xr:uid="{00000000-0005-0000-0000-0000BE490000}"/>
    <cellStyle name="Note 8 2 2 3" xfId="4830" xr:uid="{00000000-0005-0000-0000-0000BF490000}"/>
    <cellStyle name="Note 8 2 2 3 2" xfId="8869" xr:uid="{00000000-0005-0000-0000-0000C0490000}"/>
    <cellStyle name="Note 8 2 2 3 2 2" xfId="17910" xr:uid="{00000000-0005-0000-0000-0000C1490000}"/>
    <cellStyle name="Note 8 2 2 3 2 2 2" xfId="32742" xr:uid="{00000000-0005-0000-0000-0000C2490000}"/>
    <cellStyle name="Note 8 2 2 3 2 3" xfId="24367" xr:uid="{00000000-0005-0000-0000-0000C3490000}"/>
    <cellStyle name="Note 8 2 2 3 3" xfId="15154" xr:uid="{00000000-0005-0000-0000-0000C4490000}"/>
    <cellStyle name="Note 8 2 2 3 3 2" xfId="29986" xr:uid="{00000000-0005-0000-0000-0000C5490000}"/>
    <cellStyle name="Note 8 2 2 3 4" xfId="11513" xr:uid="{00000000-0005-0000-0000-0000C6490000}"/>
    <cellStyle name="Note 8 2 2 3 4 2" xfId="26345" xr:uid="{00000000-0005-0000-0000-0000C7490000}"/>
    <cellStyle name="Note 8 2 2 3 5" xfId="21905" xr:uid="{00000000-0005-0000-0000-0000C8490000}"/>
    <cellStyle name="Note 8 2 2 4" xfId="2820" xr:uid="{00000000-0005-0000-0000-0000C9490000}"/>
    <cellStyle name="Note 8 2 2 4 2" xfId="6911" xr:uid="{00000000-0005-0000-0000-0000CA490000}"/>
    <cellStyle name="Note 8 2 2 4 2 2" xfId="16804" xr:uid="{00000000-0005-0000-0000-0000CB490000}"/>
    <cellStyle name="Note 8 2 2 4 2 2 2" xfId="31636" xr:uid="{00000000-0005-0000-0000-0000CC490000}"/>
    <cellStyle name="Note 8 2 2 4 2 3" xfId="23118" xr:uid="{00000000-0005-0000-0000-0000CD490000}"/>
    <cellStyle name="Note 8 2 2 4 3" xfId="13158" xr:uid="{00000000-0005-0000-0000-0000CE490000}"/>
    <cellStyle name="Note 8 2 2 4 3 2" xfId="27990" xr:uid="{00000000-0005-0000-0000-0000CF490000}"/>
    <cellStyle name="Note 8 2 2 4 4" xfId="10457" xr:uid="{00000000-0005-0000-0000-0000D0490000}"/>
    <cellStyle name="Note 8 2 2 4 4 2" xfId="25289" xr:uid="{00000000-0005-0000-0000-0000D1490000}"/>
    <cellStyle name="Note 8 2 2 4 5" xfId="20778" xr:uid="{00000000-0005-0000-0000-0000D2490000}"/>
    <cellStyle name="Note 8 2 2 5" xfId="5984" xr:uid="{00000000-0005-0000-0000-0000D3490000}"/>
    <cellStyle name="Note 8 2 2 5 2" xfId="16176" xr:uid="{00000000-0005-0000-0000-0000D4490000}"/>
    <cellStyle name="Note 8 2 2 5 2 2" xfId="31008" xr:uid="{00000000-0005-0000-0000-0000D5490000}"/>
    <cellStyle name="Note 8 2 2 5 3" xfId="22549" xr:uid="{00000000-0005-0000-0000-0000D6490000}"/>
    <cellStyle name="Note 8 2 2 6" xfId="12246" xr:uid="{00000000-0005-0000-0000-0000D7490000}"/>
    <cellStyle name="Note 8 2 2 6 2" xfId="27078" xr:uid="{00000000-0005-0000-0000-0000D8490000}"/>
    <cellStyle name="Note 8 2 2 7" xfId="9842" xr:uid="{00000000-0005-0000-0000-0000D9490000}"/>
    <cellStyle name="Note 8 2 2 7 2" xfId="24768" xr:uid="{00000000-0005-0000-0000-0000DA490000}"/>
    <cellStyle name="Note 8 2 2 8" xfId="20326" xr:uid="{00000000-0005-0000-0000-0000DB490000}"/>
    <cellStyle name="Note 8 2 3" xfId="3791" xr:uid="{00000000-0005-0000-0000-0000DC490000}"/>
    <cellStyle name="Note 8 2 3 2" xfId="7846" xr:uid="{00000000-0005-0000-0000-0000DD490000}"/>
    <cellStyle name="Note 8 2 3 2 2" xfId="17366" xr:uid="{00000000-0005-0000-0000-0000DE490000}"/>
    <cellStyle name="Note 8 2 3 2 2 2" xfId="32198" xr:uid="{00000000-0005-0000-0000-0000DF490000}"/>
    <cellStyle name="Note 8 2 3 2 3" xfId="23701" xr:uid="{00000000-0005-0000-0000-0000E0490000}"/>
    <cellStyle name="Note 8 2 3 3" xfId="14126" xr:uid="{00000000-0005-0000-0000-0000E1490000}"/>
    <cellStyle name="Note 8 2 3 3 2" xfId="28958" xr:uid="{00000000-0005-0000-0000-0000E2490000}"/>
    <cellStyle name="Note 8 2 3 4" xfId="10983" xr:uid="{00000000-0005-0000-0000-0000E3490000}"/>
    <cellStyle name="Note 8 2 3 4 2" xfId="25815" xr:uid="{00000000-0005-0000-0000-0000E4490000}"/>
    <cellStyle name="Note 8 2 3 5" xfId="21353" xr:uid="{00000000-0005-0000-0000-0000E5490000}"/>
    <cellStyle name="Note 8 2 4" xfId="4410" xr:uid="{00000000-0005-0000-0000-0000E6490000}"/>
    <cellStyle name="Note 8 2 4 2" xfId="8449" xr:uid="{00000000-0005-0000-0000-0000E7490000}"/>
    <cellStyle name="Note 8 2 4 2 2" xfId="17670" xr:uid="{00000000-0005-0000-0000-0000E8490000}"/>
    <cellStyle name="Note 8 2 4 2 2 2" xfId="32502" xr:uid="{00000000-0005-0000-0000-0000E9490000}"/>
    <cellStyle name="Note 8 2 4 2 3" xfId="24107" xr:uid="{00000000-0005-0000-0000-0000EA490000}"/>
    <cellStyle name="Note 8 2 4 3" xfId="14739" xr:uid="{00000000-0005-0000-0000-0000EB490000}"/>
    <cellStyle name="Note 8 2 4 3 2" xfId="29571" xr:uid="{00000000-0005-0000-0000-0000EC490000}"/>
    <cellStyle name="Note 8 2 4 4" xfId="11278" xr:uid="{00000000-0005-0000-0000-0000ED490000}"/>
    <cellStyle name="Note 8 2 4 4 2" xfId="26110" xr:uid="{00000000-0005-0000-0000-0000EE490000}"/>
    <cellStyle name="Note 8 2 4 5" xfId="21675" xr:uid="{00000000-0005-0000-0000-0000EF490000}"/>
    <cellStyle name="Note 8 2 5" xfId="2400" xr:uid="{00000000-0005-0000-0000-0000F0490000}"/>
    <cellStyle name="Note 8 2 5 2" xfId="6512" xr:uid="{00000000-0005-0000-0000-0000F1490000}"/>
    <cellStyle name="Note 8 2 5 2 2" xfId="16568" xr:uid="{00000000-0005-0000-0000-0000F2490000}"/>
    <cellStyle name="Note 8 2 5 2 2 2" xfId="31400" xr:uid="{00000000-0005-0000-0000-0000F3490000}"/>
    <cellStyle name="Note 8 2 5 2 3" xfId="22882" xr:uid="{00000000-0005-0000-0000-0000F4490000}"/>
    <cellStyle name="Note 8 2 5 3" xfId="12739" xr:uid="{00000000-0005-0000-0000-0000F5490000}"/>
    <cellStyle name="Note 8 2 5 3 2" xfId="27571" xr:uid="{00000000-0005-0000-0000-0000F6490000}"/>
    <cellStyle name="Note 8 2 5 4" xfId="10218" xr:uid="{00000000-0005-0000-0000-0000F7490000}"/>
    <cellStyle name="Note 8 2 5 4 2" xfId="25050" xr:uid="{00000000-0005-0000-0000-0000F8490000}"/>
    <cellStyle name="Note 8 2 5 5" xfId="20524" xr:uid="{00000000-0005-0000-0000-0000F9490000}"/>
    <cellStyle name="Note 8 2 6" xfId="5525" xr:uid="{00000000-0005-0000-0000-0000FA490000}"/>
    <cellStyle name="Note 8 2 6 2" xfId="15760" xr:uid="{00000000-0005-0000-0000-0000FB490000}"/>
    <cellStyle name="Note 8 2 6 2 2" xfId="30592" xr:uid="{00000000-0005-0000-0000-0000FC490000}"/>
    <cellStyle name="Note 8 2 6 3" xfId="22253" xr:uid="{00000000-0005-0000-0000-0000FD490000}"/>
    <cellStyle name="Note 8 2 7" xfId="11775" xr:uid="{00000000-0005-0000-0000-0000FE490000}"/>
    <cellStyle name="Note 8 2 7 2" xfId="26607" xr:uid="{00000000-0005-0000-0000-0000FF490000}"/>
    <cellStyle name="Note 8 2 8" xfId="9446" xr:uid="{00000000-0005-0000-0000-0000004A0000}"/>
    <cellStyle name="Note 8 2 8 2" xfId="19750" xr:uid="{00000000-0005-0000-0000-0000014A0000}"/>
    <cellStyle name="Note 8 3" xfId="1518" xr:uid="{00000000-0005-0000-0000-0000024A0000}"/>
    <cellStyle name="Note 8 3 2" xfId="2015" xr:uid="{00000000-0005-0000-0000-0000034A0000}"/>
    <cellStyle name="Note 8 3 2 2" xfId="3954" xr:uid="{00000000-0005-0000-0000-0000044A0000}"/>
    <cellStyle name="Note 8 3 2 2 2" xfId="8004" xr:uid="{00000000-0005-0000-0000-0000054A0000}"/>
    <cellStyle name="Note 8 3 2 2 2 2" xfId="17446" xr:uid="{00000000-0005-0000-0000-0000064A0000}"/>
    <cellStyle name="Note 8 3 2 2 2 2 2" xfId="32278" xr:uid="{00000000-0005-0000-0000-0000074A0000}"/>
    <cellStyle name="Note 8 3 2 2 2 3" xfId="23802" xr:uid="{00000000-0005-0000-0000-0000084A0000}"/>
    <cellStyle name="Note 8 3 2 2 3" xfId="14287" xr:uid="{00000000-0005-0000-0000-0000094A0000}"/>
    <cellStyle name="Note 8 3 2 2 3 2" xfId="29119" xr:uid="{00000000-0005-0000-0000-00000A4A0000}"/>
    <cellStyle name="Note 8 3 2 2 4" xfId="11061" xr:uid="{00000000-0005-0000-0000-00000B4A0000}"/>
    <cellStyle name="Note 8 3 2 2 4 2" xfId="25893" xr:uid="{00000000-0005-0000-0000-00000C4A0000}"/>
    <cellStyle name="Note 8 3 2 2 5" xfId="21444" xr:uid="{00000000-0005-0000-0000-00000D4A0000}"/>
    <cellStyle name="Note 8 3 2 3" xfId="4983" xr:uid="{00000000-0005-0000-0000-00000E4A0000}"/>
    <cellStyle name="Note 8 3 2 3 2" xfId="9022" xr:uid="{00000000-0005-0000-0000-00000F4A0000}"/>
    <cellStyle name="Note 8 3 2 3 2 2" xfId="17960" xr:uid="{00000000-0005-0000-0000-0000104A0000}"/>
    <cellStyle name="Note 8 3 2 3 2 2 2" xfId="32792" xr:uid="{00000000-0005-0000-0000-0000114A0000}"/>
    <cellStyle name="Note 8 3 2 3 2 3" xfId="24488" xr:uid="{00000000-0005-0000-0000-0000124A0000}"/>
    <cellStyle name="Note 8 3 2 3 3" xfId="15305" xr:uid="{00000000-0005-0000-0000-0000134A0000}"/>
    <cellStyle name="Note 8 3 2 3 3 2" xfId="30137" xr:uid="{00000000-0005-0000-0000-0000144A0000}"/>
    <cellStyle name="Note 8 3 2 3 4" xfId="11561" xr:uid="{00000000-0005-0000-0000-0000154A0000}"/>
    <cellStyle name="Note 8 3 2 3 4 2" xfId="26393" xr:uid="{00000000-0005-0000-0000-0000164A0000}"/>
    <cellStyle name="Note 8 3 2 3 5" xfId="22014" xr:uid="{00000000-0005-0000-0000-0000174A0000}"/>
    <cellStyle name="Note 8 3 2 4" xfId="2973" xr:uid="{00000000-0005-0000-0000-0000184A0000}"/>
    <cellStyle name="Note 8 3 2 4 2" xfId="7053" xr:uid="{00000000-0005-0000-0000-0000194A0000}"/>
    <cellStyle name="Note 8 3 2 4 2 2" xfId="16852" xr:uid="{00000000-0005-0000-0000-00001A4A0000}"/>
    <cellStyle name="Note 8 3 2 4 2 2 2" xfId="31684" xr:uid="{00000000-0005-0000-0000-00001B4A0000}"/>
    <cellStyle name="Note 8 3 2 4 2 3" xfId="23227" xr:uid="{00000000-0005-0000-0000-00001C4A0000}"/>
    <cellStyle name="Note 8 3 2 4 3" xfId="13311" xr:uid="{00000000-0005-0000-0000-00001D4A0000}"/>
    <cellStyle name="Note 8 3 2 4 3 2" xfId="28143" xr:uid="{00000000-0005-0000-0000-00001E4A0000}"/>
    <cellStyle name="Note 8 3 2 4 4" xfId="10507" xr:uid="{00000000-0005-0000-0000-00001F4A0000}"/>
    <cellStyle name="Note 8 3 2 4 4 2" xfId="25339" xr:uid="{00000000-0005-0000-0000-0000204A0000}"/>
    <cellStyle name="Note 8 3 2 4 5" xfId="20899" xr:uid="{00000000-0005-0000-0000-0000214A0000}"/>
    <cellStyle name="Note 8 3 2 5" xfId="6145" xr:uid="{00000000-0005-0000-0000-0000224A0000}"/>
    <cellStyle name="Note 8 3 2 5 2" xfId="16332" xr:uid="{00000000-0005-0000-0000-0000234A0000}"/>
    <cellStyle name="Note 8 3 2 5 2 2" xfId="31164" xr:uid="{00000000-0005-0000-0000-0000244A0000}"/>
    <cellStyle name="Note 8 3 2 5 3" xfId="22678" xr:uid="{00000000-0005-0000-0000-0000254A0000}"/>
    <cellStyle name="Note 8 3 2 6" xfId="12402" xr:uid="{00000000-0005-0000-0000-0000264A0000}"/>
    <cellStyle name="Note 8 3 2 6 2" xfId="27234" xr:uid="{00000000-0005-0000-0000-0000274A0000}"/>
    <cellStyle name="Note 8 3 2 7" xfId="9984" xr:uid="{00000000-0005-0000-0000-0000284A0000}"/>
    <cellStyle name="Note 8 3 2 7 2" xfId="24816" xr:uid="{00000000-0005-0000-0000-0000294A0000}"/>
    <cellStyle name="Note 8 3 2 8" xfId="20357" xr:uid="{00000000-0005-0000-0000-00002A4A0000}"/>
    <cellStyle name="Note 8 3 3" xfId="3177" xr:uid="{00000000-0005-0000-0000-00002B4A0000}"/>
    <cellStyle name="Note 8 3 3 2" xfId="7241" xr:uid="{00000000-0005-0000-0000-00002C4A0000}"/>
    <cellStyle name="Note 8 3 3 2 2" xfId="17015" xr:uid="{00000000-0005-0000-0000-00002D4A0000}"/>
    <cellStyle name="Note 8 3 3 2 2 2" xfId="31847" xr:uid="{00000000-0005-0000-0000-00002E4A0000}"/>
    <cellStyle name="Note 8 3 3 2 3" xfId="23299" xr:uid="{00000000-0005-0000-0000-00002F4A0000}"/>
    <cellStyle name="Note 8 3 3 3" xfId="13515" xr:uid="{00000000-0005-0000-0000-0000304A0000}"/>
    <cellStyle name="Note 8 3 3 3 2" xfId="28347" xr:uid="{00000000-0005-0000-0000-0000314A0000}"/>
    <cellStyle name="Note 8 3 3 4" xfId="10665" xr:uid="{00000000-0005-0000-0000-0000324A0000}"/>
    <cellStyle name="Note 8 3 3 4 2" xfId="25497" xr:uid="{00000000-0005-0000-0000-0000334A0000}"/>
    <cellStyle name="Note 8 3 3 5" xfId="20989" xr:uid="{00000000-0005-0000-0000-0000344A0000}"/>
    <cellStyle name="Note 8 3 4" xfId="4563" xr:uid="{00000000-0005-0000-0000-0000354A0000}"/>
    <cellStyle name="Note 8 3 4 2" xfId="8602" xr:uid="{00000000-0005-0000-0000-0000364A0000}"/>
    <cellStyle name="Note 8 3 4 2 2" xfId="17720" xr:uid="{00000000-0005-0000-0000-0000374A0000}"/>
    <cellStyle name="Note 8 3 4 2 2 2" xfId="32552" xr:uid="{00000000-0005-0000-0000-0000384A0000}"/>
    <cellStyle name="Note 8 3 4 2 3" xfId="24228" xr:uid="{00000000-0005-0000-0000-0000394A0000}"/>
    <cellStyle name="Note 8 3 4 3" xfId="14890" xr:uid="{00000000-0005-0000-0000-00003A4A0000}"/>
    <cellStyle name="Note 8 3 4 3 2" xfId="29722" xr:uid="{00000000-0005-0000-0000-00003B4A0000}"/>
    <cellStyle name="Note 8 3 4 4" xfId="11326" xr:uid="{00000000-0005-0000-0000-00003C4A0000}"/>
    <cellStyle name="Note 8 3 4 4 2" xfId="26158" xr:uid="{00000000-0005-0000-0000-00003D4A0000}"/>
    <cellStyle name="Note 8 3 4 5" xfId="21784" xr:uid="{00000000-0005-0000-0000-00003E4A0000}"/>
    <cellStyle name="Note 8 3 5" xfId="2553" xr:uid="{00000000-0005-0000-0000-00003F4A0000}"/>
    <cellStyle name="Note 8 3 5 2" xfId="6659" xr:uid="{00000000-0005-0000-0000-0000404A0000}"/>
    <cellStyle name="Note 8 3 5 2 2" xfId="16617" xr:uid="{00000000-0005-0000-0000-0000414A0000}"/>
    <cellStyle name="Note 8 3 5 2 2 2" xfId="31449" xr:uid="{00000000-0005-0000-0000-0000424A0000}"/>
    <cellStyle name="Note 8 3 5 2 3" xfId="22997" xr:uid="{00000000-0005-0000-0000-0000434A0000}"/>
    <cellStyle name="Note 8 3 5 3" xfId="12891" xr:uid="{00000000-0005-0000-0000-0000444A0000}"/>
    <cellStyle name="Note 8 3 5 3 2" xfId="27723" xr:uid="{00000000-0005-0000-0000-0000454A0000}"/>
    <cellStyle name="Note 8 3 5 4" xfId="10267" xr:uid="{00000000-0005-0000-0000-0000464A0000}"/>
    <cellStyle name="Note 8 3 5 4 2" xfId="25099" xr:uid="{00000000-0005-0000-0000-0000474A0000}"/>
    <cellStyle name="Note 8 3 5 5" xfId="20639" xr:uid="{00000000-0005-0000-0000-0000484A0000}"/>
    <cellStyle name="Note 8 3 6" xfId="5676" xr:uid="{00000000-0005-0000-0000-0000494A0000}"/>
    <cellStyle name="Note 8 3 6 2" xfId="15911" xr:uid="{00000000-0005-0000-0000-00004A4A0000}"/>
    <cellStyle name="Note 8 3 6 2 2" xfId="30743" xr:uid="{00000000-0005-0000-0000-00004B4A0000}"/>
    <cellStyle name="Note 8 3 6 3" xfId="22372" xr:uid="{00000000-0005-0000-0000-00004C4A0000}"/>
    <cellStyle name="Note 8 3 7" xfId="11931" xr:uid="{00000000-0005-0000-0000-00004D4A0000}"/>
    <cellStyle name="Note 8 3 7 2" xfId="26763" xr:uid="{00000000-0005-0000-0000-00004E4A0000}"/>
    <cellStyle name="Note 8 3 8" xfId="9589" xr:uid="{00000000-0005-0000-0000-00004F4A0000}"/>
    <cellStyle name="Note 8 3 8 2" xfId="19891" xr:uid="{00000000-0005-0000-0000-0000504A0000}"/>
    <cellStyle name="Note 8 4" xfId="1573" xr:uid="{00000000-0005-0000-0000-0000514A0000}"/>
    <cellStyle name="Note 8 4 2" xfId="2070" xr:uid="{00000000-0005-0000-0000-0000524A0000}"/>
    <cellStyle name="Note 8 4 2 2" xfId="3410" xr:uid="{00000000-0005-0000-0000-0000534A0000}"/>
    <cellStyle name="Note 8 4 2 2 2" xfId="7473" xr:uid="{00000000-0005-0000-0000-0000544A0000}"/>
    <cellStyle name="Note 8 4 2 2 2 2" xfId="17172" xr:uid="{00000000-0005-0000-0000-0000554A0000}"/>
    <cellStyle name="Note 8 4 2 2 2 2 2" xfId="32004" xr:uid="{00000000-0005-0000-0000-0000564A0000}"/>
    <cellStyle name="Note 8 4 2 2 2 3" xfId="23461" xr:uid="{00000000-0005-0000-0000-0000574A0000}"/>
    <cellStyle name="Note 8 4 2 2 3" xfId="13747" xr:uid="{00000000-0005-0000-0000-0000584A0000}"/>
    <cellStyle name="Note 8 4 2 2 3 2" xfId="28579" xr:uid="{00000000-0005-0000-0000-0000594A0000}"/>
    <cellStyle name="Note 8 4 2 2 4" xfId="10791" xr:uid="{00000000-0005-0000-0000-00005A4A0000}"/>
    <cellStyle name="Note 8 4 2 2 4 2" xfId="25623" xr:uid="{00000000-0005-0000-0000-00005B4A0000}"/>
    <cellStyle name="Note 8 4 2 2 5" xfId="21139" xr:uid="{00000000-0005-0000-0000-00005C4A0000}"/>
    <cellStyle name="Note 8 4 2 3" xfId="5038" xr:uid="{00000000-0005-0000-0000-00005D4A0000}"/>
    <cellStyle name="Note 8 4 2 3 2" xfId="9077" xr:uid="{00000000-0005-0000-0000-00005E4A0000}"/>
    <cellStyle name="Note 8 4 2 3 2 2" xfId="18010" xr:uid="{00000000-0005-0000-0000-00005F4A0000}"/>
    <cellStyle name="Note 8 4 2 3 2 2 2" xfId="32842" xr:uid="{00000000-0005-0000-0000-0000604A0000}"/>
    <cellStyle name="Note 8 4 2 3 2 3" xfId="24511" xr:uid="{00000000-0005-0000-0000-0000614A0000}"/>
    <cellStyle name="Note 8 4 2 3 3" xfId="15359" xr:uid="{00000000-0005-0000-0000-0000624A0000}"/>
    <cellStyle name="Note 8 4 2 3 3 2" xfId="30191" xr:uid="{00000000-0005-0000-0000-0000634A0000}"/>
    <cellStyle name="Note 8 4 2 3 4" xfId="11610" xr:uid="{00000000-0005-0000-0000-0000644A0000}"/>
    <cellStyle name="Note 8 4 2 3 4 2" xfId="26442" xr:uid="{00000000-0005-0000-0000-0000654A0000}"/>
    <cellStyle name="Note 8 4 2 3 5" xfId="22031" xr:uid="{00000000-0005-0000-0000-0000664A0000}"/>
    <cellStyle name="Note 8 4 2 4" xfId="3028" xr:uid="{00000000-0005-0000-0000-0000674A0000}"/>
    <cellStyle name="Note 8 4 2 4 2" xfId="7103" xr:uid="{00000000-0005-0000-0000-0000684A0000}"/>
    <cellStyle name="Note 8 4 2 4 2 2" xfId="16901" xr:uid="{00000000-0005-0000-0000-0000694A0000}"/>
    <cellStyle name="Note 8 4 2 4 2 2 2" xfId="31733" xr:uid="{00000000-0005-0000-0000-00006A4A0000}"/>
    <cellStyle name="Note 8 4 2 4 2 3" xfId="23244" xr:uid="{00000000-0005-0000-0000-00006B4A0000}"/>
    <cellStyle name="Note 8 4 2 4 3" xfId="13366" xr:uid="{00000000-0005-0000-0000-00006C4A0000}"/>
    <cellStyle name="Note 8 4 2 4 3 2" xfId="28198" xr:uid="{00000000-0005-0000-0000-00006D4A0000}"/>
    <cellStyle name="Note 8 4 2 4 4" xfId="10557" xr:uid="{00000000-0005-0000-0000-00006E4A0000}"/>
    <cellStyle name="Note 8 4 2 4 4 2" xfId="25389" xr:uid="{00000000-0005-0000-0000-00006F4A0000}"/>
    <cellStyle name="Note 8 4 2 4 5" xfId="20922" xr:uid="{00000000-0005-0000-0000-0000704A0000}"/>
    <cellStyle name="Note 8 4 2 5" xfId="6195" xr:uid="{00000000-0005-0000-0000-0000714A0000}"/>
    <cellStyle name="Note 8 4 2 5 2" xfId="16381" xr:uid="{00000000-0005-0000-0000-0000724A0000}"/>
    <cellStyle name="Note 8 4 2 5 2 2" xfId="31213" xr:uid="{00000000-0005-0000-0000-0000734A0000}"/>
    <cellStyle name="Note 8 4 2 5 3" xfId="22695" xr:uid="{00000000-0005-0000-0000-0000744A0000}"/>
    <cellStyle name="Note 8 4 2 6" xfId="12451" xr:uid="{00000000-0005-0000-0000-0000754A0000}"/>
    <cellStyle name="Note 8 4 2 6 2" xfId="27283" xr:uid="{00000000-0005-0000-0000-0000764A0000}"/>
    <cellStyle name="Note 8 4 2 7" xfId="10033" xr:uid="{00000000-0005-0000-0000-0000774A0000}"/>
    <cellStyle name="Note 8 4 2 7 2" xfId="24865" xr:uid="{00000000-0005-0000-0000-0000784A0000}"/>
    <cellStyle name="Note 8 4 2 8" xfId="20374" xr:uid="{00000000-0005-0000-0000-0000794A0000}"/>
    <cellStyle name="Note 8 4 3" xfId="3999" xr:uid="{00000000-0005-0000-0000-00007A4A0000}"/>
    <cellStyle name="Note 8 4 3 2" xfId="8046" xr:uid="{00000000-0005-0000-0000-00007B4A0000}"/>
    <cellStyle name="Note 8 4 3 2 2" xfId="17466" xr:uid="{00000000-0005-0000-0000-00007C4A0000}"/>
    <cellStyle name="Note 8 4 3 2 2 2" xfId="32298" xr:uid="{00000000-0005-0000-0000-00007D4A0000}"/>
    <cellStyle name="Note 8 4 3 2 3" xfId="23829" xr:uid="{00000000-0005-0000-0000-00007E4A0000}"/>
    <cellStyle name="Note 8 4 3 3" xfId="14331" xr:uid="{00000000-0005-0000-0000-00007F4A0000}"/>
    <cellStyle name="Note 8 4 3 3 2" xfId="29163" xr:uid="{00000000-0005-0000-0000-0000804A0000}"/>
    <cellStyle name="Note 8 4 3 4" xfId="11083" xr:uid="{00000000-0005-0000-0000-0000814A0000}"/>
    <cellStyle name="Note 8 4 3 4 2" xfId="25915" xr:uid="{00000000-0005-0000-0000-0000824A0000}"/>
    <cellStyle name="Note 8 4 3 5" xfId="21467" xr:uid="{00000000-0005-0000-0000-0000834A0000}"/>
    <cellStyle name="Note 8 4 4" xfId="4618" xr:uid="{00000000-0005-0000-0000-0000844A0000}"/>
    <cellStyle name="Note 8 4 4 2" xfId="8657" xr:uid="{00000000-0005-0000-0000-0000854A0000}"/>
    <cellStyle name="Note 8 4 4 2 2" xfId="17770" xr:uid="{00000000-0005-0000-0000-0000864A0000}"/>
    <cellStyle name="Note 8 4 4 2 2 2" xfId="32602" xr:uid="{00000000-0005-0000-0000-0000874A0000}"/>
    <cellStyle name="Note 8 4 4 2 3" xfId="24251" xr:uid="{00000000-0005-0000-0000-0000884A0000}"/>
    <cellStyle name="Note 8 4 4 3" xfId="14944" xr:uid="{00000000-0005-0000-0000-0000894A0000}"/>
    <cellStyle name="Note 8 4 4 3 2" xfId="29776" xr:uid="{00000000-0005-0000-0000-00008A4A0000}"/>
    <cellStyle name="Note 8 4 4 4" xfId="11375" xr:uid="{00000000-0005-0000-0000-00008B4A0000}"/>
    <cellStyle name="Note 8 4 4 4 2" xfId="26207" xr:uid="{00000000-0005-0000-0000-00008C4A0000}"/>
    <cellStyle name="Note 8 4 4 5" xfId="21801" xr:uid="{00000000-0005-0000-0000-00008D4A0000}"/>
    <cellStyle name="Note 8 4 5" xfId="2608" xr:uid="{00000000-0005-0000-0000-00008E4A0000}"/>
    <cellStyle name="Note 8 4 5 2" xfId="6709" xr:uid="{00000000-0005-0000-0000-00008F4A0000}"/>
    <cellStyle name="Note 8 4 5 2 2" xfId="16666" xr:uid="{00000000-0005-0000-0000-0000904A0000}"/>
    <cellStyle name="Note 8 4 5 2 2 2" xfId="31498" xr:uid="{00000000-0005-0000-0000-0000914A0000}"/>
    <cellStyle name="Note 8 4 5 2 3" xfId="23014" xr:uid="{00000000-0005-0000-0000-0000924A0000}"/>
    <cellStyle name="Note 8 4 5 3" xfId="12946" xr:uid="{00000000-0005-0000-0000-0000934A0000}"/>
    <cellStyle name="Note 8 4 5 3 2" xfId="27778" xr:uid="{00000000-0005-0000-0000-0000944A0000}"/>
    <cellStyle name="Note 8 4 5 4" xfId="10317" xr:uid="{00000000-0005-0000-0000-0000954A0000}"/>
    <cellStyle name="Note 8 4 5 4 2" xfId="25149" xr:uid="{00000000-0005-0000-0000-0000964A0000}"/>
    <cellStyle name="Note 8 4 5 5" xfId="20662" xr:uid="{00000000-0005-0000-0000-0000974A0000}"/>
    <cellStyle name="Note 8 4 6" xfId="5725" xr:uid="{00000000-0005-0000-0000-0000984A0000}"/>
    <cellStyle name="Note 8 4 6 2" xfId="15960" xr:uid="{00000000-0005-0000-0000-0000994A0000}"/>
    <cellStyle name="Note 8 4 6 2 2" xfId="30792" xr:uid="{00000000-0005-0000-0000-00009A4A0000}"/>
    <cellStyle name="Note 8 4 6 3" xfId="22389" xr:uid="{00000000-0005-0000-0000-00009B4A0000}"/>
    <cellStyle name="Note 8 4 7" xfId="11980" xr:uid="{00000000-0005-0000-0000-00009C4A0000}"/>
    <cellStyle name="Note 8 4 7 2" xfId="26812" xr:uid="{00000000-0005-0000-0000-00009D4A0000}"/>
    <cellStyle name="Note 8 4 8" xfId="9639" xr:uid="{00000000-0005-0000-0000-00009E4A0000}"/>
    <cellStyle name="Note 8 4 8 2" xfId="19940" xr:uid="{00000000-0005-0000-0000-00009F4A0000}"/>
    <cellStyle name="Note 8 5" xfId="1623" xr:uid="{00000000-0005-0000-0000-0000A04A0000}"/>
    <cellStyle name="Note 8 5 2" xfId="2120" xr:uid="{00000000-0005-0000-0000-0000A14A0000}"/>
    <cellStyle name="Note 8 5 2 2" xfId="4144" xr:uid="{00000000-0005-0000-0000-0000A24A0000}"/>
    <cellStyle name="Note 8 5 2 2 2" xfId="8188" xr:uid="{00000000-0005-0000-0000-0000A34A0000}"/>
    <cellStyle name="Note 8 5 2 2 2 2" xfId="17542" xr:uid="{00000000-0005-0000-0000-0000A44A0000}"/>
    <cellStyle name="Note 8 5 2 2 2 2 2" xfId="32374" xr:uid="{00000000-0005-0000-0000-0000A54A0000}"/>
    <cellStyle name="Note 8 5 2 2 2 3" xfId="23917" xr:uid="{00000000-0005-0000-0000-0000A64A0000}"/>
    <cellStyle name="Note 8 5 2 2 3" xfId="14476" xr:uid="{00000000-0005-0000-0000-0000A74A0000}"/>
    <cellStyle name="Note 8 5 2 2 3 2" xfId="29308" xr:uid="{00000000-0005-0000-0000-0000A84A0000}"/>
    <cellStyle name="Note 8 5 2 2 4" xfId="11160" xr:uid="{00000000-0005-0000-0000-0000A94A0000}"/>
    <cellStyle name="Note 8 5 2 2 4 2" xfId="25992" xr:uid="{00000000-0005-0000-0000-0000AA4A0000}"/>
    <cellStyle name="Note 8 5 2 2 5" xfId="21544" xr:uid="{00000000-0005-0000-0000-0000AB4A0000}"/>
    <cellStyle name="Note 8 5 2 3" xfId="5088" xr:uid="{00000000-0005-0000-0000-0000AC4A0000}"/>
    <cellStyle name="Note 8 5 2 3 2" xfId="9127" xr:uid="{00000000-0005-0000-0000-0000AD4A0000}"/>
    <cellStyle name="Note 8 5 2 3 2 2" xfId="18055" xr:uid="{00000000-0005-0000-0000-0000AE4A0000}"/>
    <cellStyle name="Note 8 5 2 3 2 2 2" xfId="32887" xr:uid="{00000000-0005-0000-0000-0000AF4A0000}"/>
    <cellStyle name="Note 8 5 2 3 2 3" xfId="24529" xr:uid="{00000000-0005-0000-0000-0000B04A0000}"/>
    <cellStyle name="Note 8 5 2 3 3" xfId="15408" xr:uid="{00000000-0005-0000-0000-0000B14A0000}"/>
    <cellStyle name="Note 8 5 2 3 3 2" xfId="30240" xr:uid="{00000000-0005-0000-0000-0000B24A0000}"/>
    <cellStyle name="Note 8 5 2 3 4" xfId="11654" xr:uid="{00000000-0005-0000-0000-0000B34A0000}"/>
    <cellStyle name="Note 8 5 2 3 4 2" xfId="26486" xr:uid="{00000000-0005-0000-0000-0000B44A0000}"/>
    <cellStyle name="Note 8 5 2 3 5" xfId="22043" xr:uid="{00000000-0005-0000-0000-0000B54A0000}"/>
    <cellStyle name="Note 8 5 2 4" xfId="3078" xr:uid="{00000000-0005-0000-0000-0000B64A0000}"/>
    <cellStyle name="Note 8 5 2 4 2" xfId="7148" xr:uid="{00000000-0005-0000-0000-0000B74A0000}"/>
    <cellStyle name="Note 8 5 2 4 2 2" xfId="16945" xr:uid="{00000000-0005-0000-0000-0000B84A0000}"/>
    <cellStyle name="Note 8 5 2 4 2 2 2" xfId="31777" xr:uid="{00000000-0005-0000-0000-0000B94A0000}"/>
    <cellStyle name="Note 8 5 2 4 2 3" xfId="23256" xr:uid="{00000000-0005-0000-0000-0000BA4A0000}"/>
    <cellStyle name="Note 8 5 2 4 3" xfId="13416" xr:uid="{00000000-0005-0000-0000-0000BB4A0000}"/>
    <cellStyle name="Note 8 5 2 4 3 2" xfId="28248" xr:uid="{00000000-0005-0000-0000-0000BC4A0000}"/>
    <cellStyle name="Note 8 5 2 4 4" xfId="10602" xr:uid="{00000000-0005-0000-0000-0000BD4A0000}"/>
    <cellStyle name="Note 8 5 2 4 4 2" xfId="25434" xr:uid="{00000000-0005-0000-0000-0000BE4A0000}"/>
    <cellStyle name="Note 8 5 2 4 5" xfId="20940" xr:uid="{00000000-0005-0000-0000-0000BF4A0000}"/>
    <cellStyle name="Note 8 5 2 5" xfId="6240" xr:uid="{00000000-0005-0000-0000-0000C04A0000}"/>
    <cellStyle name="Note 8 5 2 5 2" xfId="16425" xr:uid="{00000000-0005-0000-0000-0000C14A0000}"/>
    <cellStyle name="Note 8 5 2 5 2 2" xfId="31257" xr:uid="{00000000-0005-0000-0000-0000C24A0000}"/>
    <cellStyle name="Note 8 5 2 5 3" xfId="22707" xr:uid="{00000000-0005-0000-0000-0000C34A0000}"/>
    <cellStyle name="Note 8 5 2 6" xfId="12495" xr:uid="{00000000-0005-0000-0000-0000C44A0000}"/>
    <cellStyle name="Note 8 5 2 6 2" xfId="27327" xr:uid="{00000000-0005-0000-0000-0000C54A0000}"/>
    <cellStyle name="Note 8 5 2 7" xfId="10077" xr:uid="{00000000-0005-0000-0000-0000C64A0000}"/>
    <cellStyle name="Note 8 5 2 7 2" xfId="24909" xr:uid="{00000000-0005-0000-0000-0000C74A0000}"/>
    <cellStyle name="Note 8 5 2 8" xfId="20386" xr:uid="{00000000-0005-0000-0000-0000C84A0000}"/>
    <cellStyle name="Note 8 5 3" xfId="4327" xr:uid="{00000000-0005-0000-0000-0000C94A0000}"/>
    <cellStyle name="Note 8 5 3 2" xfId="8366" xr:uid="{00000000-0005-0000-0000-0000CA4A0000}"/>
    <cellStyle name="Note 8 5 3 2 2" xfId="17644" xr:uid="{00000000-0005-0000-0000-0000CB4A0000}"/>
    <cellStyle name="Note 8 5 3 2 2 2" xfId="32476" xr:uid="{00000000-0005-0000-0000-0000CC4A0000}"/>
    <cellStyle name="Note 8 5 3 2 3" xfId="24032" xr:uid="{00000000-0005-0000-0000-0000CD4A0000}"/>
    <cellStyle name="Note 8 5 3 3" xfId="14658" xr:uid="{00000000-0005-0000-0000-0000CE4A0000}"/>
    <cellStyle name="Note 8 5 3 3 2" xfId="29490" xr:uid="{00000000-0005-0000-0000-0000CF4A0000}"/>
    <cellStyle name="Note 8 5 3 4" xfId="11254" xr:uid="{00000000-0005-0000-0000-0000D04A0000}"/>
    <cellStyle name="Note 8 5 3 4 2" xfId="26086" xr:uid="{00000000-0005-0000-0000-0000D14A0000}"/>
    <cellStyle name="Note 8 5 3 5" xfId="21628" xr:uid="{00000000-0005-0000-0000-0000D24A0000}"/>
    <cellStyle name="Note 8 5 4" xfId="4668" xr:uid="{00000000-0005-0000-0000-0000D34A0000}"/>
    <cellStyle name="Note 8 5 4 2" xfId="8707" xr:uid="{00000000-0005-0000-0000-0000D44A0000}"/>
    <cellStyle name="Note 8 5 4 2 2" xfId="17815" xr:uid="{00000000-0005-0000-0000-0000D54A0000}"/>
    <cellStyle name="Note 8 5 4 2 2 2" xfId="32647" xr:uid="{00000000-0005-0000-0000-0000D64A0000}"/>
    <cellStyle name="Note 8 5 4 2 3" xfId="24269" xr:uid="{00000000-0005-0000-0000-0000D74A0000}"/>
    <cellStyle name="Note 8 5 4 3" xfId="14993" xr:uid="{00000000-0005-0000-0000-0000D84A0000}"/>
    <cellStyle name="Note 8 5 4 3 2" xfId="29825" xr:uid="{00000000-0005-0000-0000-0000D94A0000}"/>
    <cellStyle name="Note 8 5 4 4" xfId="11419" xr:uid="{00000000-0005-0000-0000-0000DA4A0000}"/>
    <cellStyle name="Note 8 5 4 4 2" xfId="26251" xr:uid="{00000000-0005-0000-0000-0000DB4A0000}"/>
    <cellStyle name="Note 8 5 4 5" xfId="21813" xr:uid="{00000000-0005-0000-0000-0000DC4A0000}"/>
    <cellStyle name="Note 8 5 5" xfId="2658" xr:uid="{00000000-0005-0000-0000-0000DD4A0000}"/>
    <cellStyle name="Note 8 5 5 2" xfId="6754" xr:uid="{00000000-0005-0000-0000-0000DE4A0000}"/>
    <cellStyle name="Note 8 5 5 2 2" xfId="16710" xr:uid="{00000000-0005-0000-0000-0000DF4A0000}"/>
    <cellStyle name="Note 8 5 5 2 2 2" xfId="31542" xr:uid="{00000000-0005-0000-0000-0000E04A0000}"/>
    <cellStyle name="Note 8 5 5 2 3" xfId="23026" xr:uid="{00000000-0005-0000-0000-0000E14A0000}"/>
    <cellStyle name="Note 8 5 5 3" xfId="12996" xr:uid="{00000000-0005-0000-0000-0000E24A0000}"/>
    <cellStyle name="Note 8 5 5 3 2" xfId="27828" xr:uid="{00000000-0005-0000-0000-0000E34A0000}"/>
    <cellStyle name="Note 8 5 5 4" xfId="10362" xr:uid="{00000000-0005-0000-0000-0000E44A0000}"/>
    <cellStyle name="Note 8 5 5 4 2" xfId="25194" xr:uid="{00000000-0005-0000-0000-0000E54A0000}"/>
    <cellStyle name="Note 8 5 5 5" xfId="20680" xr:uid="{00000000-0005-0000-0000-0000E64A0000}"/>
    <cellStyle name="Note 8 5 6" xfId="5770" xr:uid="{00000000-0005-0000-0000-0000E74A0000}"/>
    <cellStyle name="Note 8 5 6 2" xfId="16004" xr:uid="{00000000-0005-0000-0000-0000E84A0000}"/>
    <cellStyle name="Note 8 5 6 2 2" xfId="30836" xr:uid="{00000000-0005-0000-0000-0000E94A0000}"/>
    <cellStyle name="Note 8 5 6 3" xfId="22401" xr:uid="{00000000-0005-0000-0000-0000EA4A0000}"/>
    <cellStyle name="Note 8 5 7" xfId="12024" xr:uid="{00000000-0005-0000-0000-0000EB4A0000}"/>
    <cellStyle name="Note 8 5 7 2" xfId="26856" xr:uid="{00000000-0005-0000-0000-0000EC4A0000}"/>
    <cellStyle name="Note 8 5 8" xfId="9684" xr:uid="{00000000-0005-0000-0000-0000ED4A0000}"/>
    <cellStyle name="Note 8 5 8 2" xfId="19984" xr:uid="{00000000-0005-0000-0000-0000EE4A0000}"/>
    <cellStyle name="Note 8 6" xfId="1774" xr:uid="{00000000-0005-0000-0000-0000EF4A0000}"/>
    <cellStyle name="Note 8 6 2" xfId="3511" xr:uid="{00000000-0005-0000-0000-0000F04A0000}"/>
    <cellStyle name="Note 8 6 2 2" xfId="7573" xr:uid="{00000000-0005-0000-0000-0000F14A0000}"/>
    <cellStyle name="Note 8 6 2 2 2" xfId="17228" xr:uid="{00000000-0005-0000-0000-0000F24A0000}"/>
    <cellStyle name="Note 8 6 2 2 2 2" xfId="32060" xr:uid="{00000000-0005-0000-0000-0000F34A0000}"/>
    <cellStyle name="Note 8 6 2 2 3" xfId="23525" xr:uid="{00000000-0005-0000-0000-0000F44A0000}"/>
    <cellStyle name="Note 8 6 2 3" xfId="13848" xr:uid="{00000000-0005-0000-0000-0000F54A0000}"/>
    <cellStyle name="Note 8 6 2 3 2" xfId="28680" xr:uid="{00000000-0005-0000-0000-0000F64A0000}"/>
    <cellStyle name="Note 8 6 2 4" xfId="10846" xr:uid="{00000000-0005-0000-0000-0000F74A0000}"/>
    <cellStyle name="Note 8 6 2 4 2" xfId="25678" xr:uid="{00000000-0005-0000-0000-0000F84A0000}"/>
    <cellStyle name="Note 8 6 2 5" xfId="21200" xr:uid="{00000000-0005-0000-0000-0000F94A0000}"/>
    <cellStyle name="Note 8 6 3" xfId="4752" xr:uid="{00000000-0005-0000-0000-0000FA4A0000}"/>
    <cellStyle name="Note 8 6 3 2" xfId="8791" xr:uid="{00000000-0005-0000-0000-0000FB4A0000}"/>
    <cellStyle name="Note 8 6 3 2 2" xfId="17863" xr:uid="{00000000-0005-0000-0000-0000FC4A0000}"/>
    <cellStyle name="Note 8 6 3 2 2 2" xfId="32695" xr:uid="{00000000-0005-0000-0000-0000FD4A0000}"/>
    <cellStyle name="Note 8 6 3 2 3" xfId="24321" xr:uid="{00000000-0005-0000-0000-0000FE4A0000}"/>
    <cellStyle name="Note 8 6 3 3" xfId="15076" xr:uid="{00000000-0005-0000-0000-0000FF4A0000}"/>
    <cellStyle name="Note 8 6 3 3 2" xfId="29908" xr:uid="{00000000-0005-0000-0000-0000004B0000}"/>
    <cellStyle name="Note 8 6 3 4" xfId="11466" xr:uid="{00000000-0005-0000-0000-0000014B0000}"/>
    <cellStyle name="Note 8 6 3 4 2" xfId="26298" xr:uid="{00000000-0005-0000-0000-0000024B0000}"/>
    <cellStyle name="Note 8 6 3 5" xfId="21859" xr:uid="{00000000-0005-0000-0000-0000034B0000}"/>
    <cellStyle name="Note 8 6 4" xfId="2742" xr:uid="{00000000-0005-0000-0000-0000044B0000}"/>
    <cellStyle name="Note 8 6 4 2" xfId="6833" xr:uid="{00000000-0005-0000-0000-0000054B0000}"/>
    <cellStyle name="Note 8 6 4 2 2" xfId="16757" xr:uid="{00000000-0005-0000-0000-0000064B0000}"/>
    <cellStyle name="Note 8 6 4 2 2 2" xfId="31589" xr:uid="{00000000-0005-0000-0000-0000074B0000}"/>
    <cellStyle name="Note 8 6 4 2 3" xfId="23072" xr:uid="{00000000-0005-0000-0000-0000084B0000}"/>
    <cellStyle name="Note 8 6 4 3" xfId="13080" xr:uid="{00000000-0005-0000-0000-0000094B0000}"/>
    <cellStyle name="Note 8 6 4 3 2" xfId="27912" xr:uid="{00000000-0005-0000-0000-00000A4B0000}"/>
    <cellStyle name="Note 8 6 4 4" xfId="10410" xr:uid="{00000000-0005-0000-0000-00000B4B0000}"/>
    <cellStyle name="Note 8 6 4 4 2" xfId="25242" xr:uid="{00000000-0005-0000-0000-00000C4B0000}"/>
    <cellStyle name="Note 8 6 4 5" xfId="20732" xr:uid="{00000000-0005-0000-0000-00000D4B0000}"/>
    <cellStyle name="Note 8 6 5" xfId="5906" xr:uid="{00000000-0005-0000-0000-00000E4B0000}"/>
    <cellStyle name="Note 8 6 5 2" xfId="16098" xr:uid="{00000000-0005-0000-0000-00000F4B0000}"/>
    <cellStyle name="Note 8 6 5 2 2" xfId="30930" xr:uid="{00000000-0005-0000-0000-0000104B0000}"/>
    <cellStyle name="Note 8 6 5 3" xfId="22503" xr:uid="{00000000-0005-0000-0000-0000114B0000}"/>
    <cellStyle name="Note 8 6 6" xfId="12168" xr:uid="{00000000-0005-0000-0000-0000124B0000}"/>
    <cellStyle name="Note 8 6 6 2" xfId="27000" xr:uid="{00000000-0005-0000-0000-0000134B0000}"/>
    <cellStyle name="Note 8 6 7" xfId="9764" xr:uid="{00000000-0005-0000-0000-0000144B0000}"/>
    <cellStyle name="Note 8 6 7 2" xfId="24721" xr:uid="{00000000-0005-0000-0000-0000154B0000}"/>
    <cellStyle name="Note 8 6 8" xfId="20311" xr:uid="{00000000-0005-0000-0000-0000164B0000}"/>
    <cellStyle name="Note 8 7" xfId="2192" xr:uid="{00000000-0005-0000-0000-0000174B0000}"/>
    <cellStyle name="Note 8 7 2" xfId="3498" xr:uid="{00000000-0005-0000-0000-0000184B0000}"/>
    <cellStyle name="Note 8 7 2 2" xfId="7560" xr:uid="{00000000-0005-0000-0000-0000194B0000}"/>
    <cellStyle name="Note 8 7 2 2 2" xfId="17221" xr:uid="{00000000-0005-0000-0000-00001A4B0000}"/>
    <cellStyle name="Note 8 7 2 2 2 2" xfId="32053" xr:uid="{00000000-0005-0000-0000-00001B4B0000}"/>
    <cellStyle name="Note 8 7 2 2 3" xfId="23514" xr:uid="{00000000-0005-0000-0000-00001C4B0000}"/>
    <cellStyle name="Note 8 7 2 3" xfId="13835" xr:uid="{00000000-0005-0000-0000-00001D4B0000}"/>
    <cellStyle name="Note 8 7 2 3 2" xfId="28667" xr:uid="{00000000-0005-0000-0000-00001E4B0000}"/>
    <cellStyle name="Note 8 7 2 4" xfId="10839" xr:uid="{00000000-0005-0000-0000-00001F4B0000}"/>
    <cellStyle name="Note 8 7 2 4 2" xfId="25671" xr:uid="{00000000-0005-0000-0000-0000204B0000}"/>
    <cellStyle name="Note 8 7 2 5" xfId="21189" xr:uid="{00000000-0005-0000-0000-0000214B0000}"/>
    <cellStyle name="Note 8 7 3" xfId="5160" xr:uid="{00000000-0005-0000-0000-0000224B0000}"/>
    <cellStyle name="Note 8 7 3 2" xfId="9199" xr:uid="{00000000-0005-0000-0000-0000234B0000}"/>
    <cellStyle name="Note 8 7 3 2 2" xfId="18122" xr:uid="{00000000-0005-0000-0000-0000244B0000}"/>
    <cellStyle name="Note 8 7 3 2 2 2" xfId="32954" xr:uid="{00000000-0005-0000-0000-0000254B0000}"/>
    <cellStyle name="Note 8 7 3 2 3" xfId="24537" xr:uid="{00000000-0005-0000-0000-0000264B0000}"/>
    <cellStyle name="Note 8 7 3 3" xfId="15478" xr:uid="{00000000-0005-0000-0000-0000274B0000}"/>
    <cellStyle name="Note 8 7 3 3 2" xfId="30310" xr:uid="{00000000-0005-0000-0000-0000284B0000}"/>
    <cellStyle name="Note 8 7 3 4" xfId="11719" xr:uid="{00000000-0005-0000-0000-0000294B0000}"/>
    <cellStyle name="Note 8 7 3 4 2" xfId="26551" xr:uid="{00000000-0005-0000-0000-00002A4B0000}"/>
    <cellStyle name="Note 8 7 3 5" xfId="22044" xr:uid="{00000000-0005-0000-0000-00002B4B0000}"/>
    <cellStyle name="Note 8 7 4" xfId="4190" xr:uid="{00000000-0005-0000-0000-00002C4B0000}"/>
    <cellStyle name="Note 8 7 4 2" xfId="8231" xr:uid="{00000000-0005-0000-0000-00002D4B0000}"/>
    <cellStyle name="Note 8 7 4 2 2" xfId="17578" xr:uid="{00000000-0005-0000-0000-00002E4B0000}"/>
    <cellStyle name="Note 8 7 4 2 2 2" xfId="32410" xr:uid="{00000000-0005-0000-0000-00002F4B0000}"/>
    <cellStyle name="Note 8 7 4 2 3" xfId="23926" xr:uid="{00000000-0005-0000-0000-0000304B0000}"/>
    <cellStyle name="Note 8 7 4 3" xfId="14522" xr:uid="{00000000-0005-0000-0000-0000314B0000}"/>
    <cellStyle name="Note 8 7 4 3 2" xfId="29354" xr:uid="{00000000-0005-0000-0000-0000324B0000}"/>
    <cellStyle name="Note 8 7 4 4" xfId="11198" xr:uid="{00000000-0005-0000-0000-0000334B0000}"/>
    <cellStyle name="Note 8 7 4 4 2" xfId="26030" xr:uid="{00000000-0005-0000-0000-0000344B0000}"/>
    <cellStyle name="Note 8 7 4 5" xfId="21551" xr:uid="{00000000-0005-0000-0000-0000354B0000}"/>
    <cellStyle name="Note 8 7 5" xfId="6306" xr:uid="{00000000-0005-0000-0000-0000364B0000}"/>
    <cellStyle name="Note 8 7 5 2" xfId="16490" xr:uid="{00000000-0005-0000-0000-0000374B0000}"/>
    <cellStyle name="Note 8 7 5 2 2" xfId="31322" xr:uid="{00000000-0005-0000-0000-0000384B0000}"/>
    <cellStyle name="Note 8 7 5 3" xfId="22708" xr:uid="{00000000-0005-0000-0000-0000394B0000}"/>
    <cellStyle name="Note 8 7 6" xfId="12560" xr:uid="{00000000-0005-0000-0000-00003A4B0000}"/>
    <cellStyle name="Note 8 7 6 2" xfId="27392" xr:uid="{00000000-0005-0000-0000-00003B4B0000}"/>
    <cellStyle name="Note 8 7 7" xfId="10142" xr:uid="{00000000-0005-0000-0000-00003C4B0000}"/>
    <cellStyle name="Note 8 7 7 2" xfId="24974" xr:uid="{00000000-0005-0000-0000-00003D4B0000}"/>
    <cellStyle name="Note 8 7 8" xfId="20387" xr:uid="{00000000-0005-0000-0000-00003E4B0000}"/>
    <cellStyle name="Note 8 8" xfId="3148" xr:uid="{00000000-0005-0000-0000-00003F4B0000}"/>
    <cellStyle name="Note 8 8 2" xfId="7212" xr:uid="{00000000-0005-0000-0000-0000404B0000}"/>
    <cellStyle name="Note 8 8 2 2" xfId="16991" xr:uid="{00000000-0005-0000-0000-0000414B0000}"/>
    <cellStyle name="Note 8 8 2 2 2" xfId="31823" xr:uid="{00000000-0005-0000-0000-0000424B0000}"/>
    <cellStyle name="Note 8 8 2 3" xfId="23281" xr:uid="{00000000-0005-0000-0000-0000434B0000}"/>
    <cellStyle name="Note 8 8 3" xfId="13486" xr:uid="{00000000-0005-0000-0000-0000444B0000}"/>
    <cellStyle name="Note 8 8 3 2" xfId="28318" xr:uid="{00000000-0005-0000-0000-0000454B0000}"/>
    <cellStyle name="Note 8 8 4" xfId="10645" xr:uid="{00000000-0005-0000-0000-0000464B0000}"/>
    <cellStyle name="Note 8 8 4 2" xfId="25477" xr:uid="{00000000-0005-0000-0000-0000474B0000}"/>
    <cellStyle name="Note 8 8 5" xfId="20972" xr:uid="{00000000-0005-0000-0000-0000484B0000}"/>
    <cellStyle name="Note 8 9" xfId="4285" xr:uid="{00000000-0005-0000-0000-0000494B0000}"/>
    <cellStyle name="Note 8 9 2" xfId="8324" xr:uid="{00000000-0005-0000-0000-00004A4B0000}"/>
    <cellStyle name="Note 8 9 2 2" xfId="17606" xr:uid="{00000000-0005-0000-0000-00004B4B0000}"/>
    <cellStyle name="Note 8 9 2 2 2" xfId="32438" xr:uid="{00000000-0005-0000-0000-00004C4B0000}"/>
    <cellStyle name="Note 8 9 2 3" xfId="24014" xr:uid="{00000000-0005-0000-0000-00004D4B0000}"/>
    <cellStyle name="Note 8 9 3" xfId="14617" xr:uid="{00000000-0005-0000-0000-00004E4B0000}"/>
    <cellStyle name="Note 8 9 3 2" xfId="29449" xr:uid="{00000000-0005-0000-0000-00004F4B0000}"/>
    <cellStyle name="Note 8 9 4" xfId="11222" xr:uid="{00000000-0005-0000-0000-0000504B0000}"/>
    <cellStyle name="Note 8 9 4 2" xfId="26054" xr:uid="{00000000-0005-0000-0000-0000514B0000}"/>
    <cellStyle name="Note 8 9 5" xfId="21612" xr:uid="{00000000-0005-0000-0000-0000524B0000}"/>
    <cellStyle name="Note 9" xfId="1215" xr:uid="{00000000-0005-0000-0000-0000534B0000}"/>
    <cellStyle name="Note 9 10" xfId="2301" xr:uid="{00000000-0005-0000-0000-0000544B0000}"/>
    <cellStyle name="Note 9 10 2" xfId="6413" xr:uid="{00000000-0005-0000-0000-0000554B0000}"/>
    <cellStyle name="Note 9 10 2 2" xfId="16506" xr:uid="{00000000-0005-0000-0000-0000564B0000}"/>
    <cellStyle name="Note 9 10 2 2 2" xfId="31338" xr:uid="{00000000-0005-0000-0000-0000574B0000}"/>
    <cellStyle name="Note 9 10 2 3" xfId="22815" xr:uid="{00000000-0005-0000-0000-0000584B0000}"/>
    <cellStyle name="Note 9 10 3" xfId="12641" xr:uid="{00000000-0005-0000-0000-0000594B0000}"/>
    <cellStyle name="Note 9 10 3 2" xfId="27473" xr:uid="{00000000-0005-0000-0000-00005A4B0000}"/>
    <cellStyle name="Note 9 10 4" xfId="10157" xr:uid="{00000000-0005-0000-0000-00005B4B0000}"/>
    <cellStyle name="Note 9 10 4 2" xfId="24989" xr:uid="{00000000-0005-0000-0000-00005C4B0000}"/>
    <cellStyle name="Note 9 10 5" xfId="20464" xr:uid="{00000000-0005-0000-0000-00005D4B0000}"/>
    <cellStyle name="Note 9 11" xfId="5264" xr:uid="{00000000-0005-0000-0000-00005E4B0000}"/>
    <cellStyle name="Note 9 11 2" xfId="9272" xr:uid="{00000000-0005-0000-0000-00005F4B0000}"/>
    <cellStyle name="Note 9 11 2 2" xfId="18139" xr:uid="{00000000-0005-0000-0000-0000604B0000}"/>
    <cellStyle name="Note 9 11 2 2 2" xfId="32971" xr:uid="{00000000-0005-0000-0000-0000614B0000}"/>
    <cellStyle name="Note 9 11 2 3" xfId="24610" xr:uid="{00000000-0005-0000-0000-0000624B0000}"/>
    <cellStyle name="Note 9 11 3" xfId="15580" xr:uid="{00000000-0005-0000-0000-0000634B0000}"/>
    <cellStyle name="Note 9 11 3 2" xfId="30412" xr:uid="{00000000-0005-0000-0000-0000644B0000}"/>
    <cellStyle name="Note 9 11 4" xfId="22121" xr:uid="{00000000-0005-0000-0000-0000654B0000}"/>
    <cellStyle name="Note 9 12" xfId="5422" xr:uid="{00000000-0005-0000-0000-0000664B0000}"/>
    <cellStyle name="Note 9 12 2" xfId="15658" xr:uid="{00000000-0005-0000-0000-0000674B0000}"/>
    <cellStyle name="Note 9 12 2 2" xfId="30490" xr:uid="{00000000-0005-0000-0000-0000684B0000}"/>
    <cellStyle name="Note 9 12 3" xfId="22183" xr:uid="{00000000-0005-0000-0000-0000694B0000}"/>
    <cellStyle name="Note 9 13" xfId="9369" xr:uid="{00000000-0005-0000-0000-00006A4B0000}"/>
    <cellStyle name="Note 9 13 2" xfId="24675" xr:uid="{00000000-0005-0000-0000-00006B4B0000}"/>
    <cellStyle name="Note 9 14" xfId="5358" xr:uid="{00000000-0005-0000-0000-00006C4B0000}"/>
    <cellStyle name="Note 9 14 2" xfId="18232" xr:uid="{00000000-0005-0000-0000-00006D4B0000}"/>
    <cellStyle name="Note 9 2" xfId="1334" xr:uid="{00000000-0005-0000-0000-00006E4B0000}"/>
    <cellStyle name="Note 9 2 2" xfId="1838" xr:uid="{00000000-0005-0000-0000-00006F4B0000}"/>
    <cellStyle name="Note 9 2 2 2" xfId="4027" xr:uid="{00000000-0005-0000-0000-0000704B0000}"/>
    <cellStyle name="Note 9 2 2 2 2" xfId="8074" xr:uid="{00000000-0005-0000-0000-0000714B0000}"/>
    <cellStyle name="Note 9 2 2 2 2 2" xfId="17484" xr:uid="{00000000-0005-0000-0000-0000724B0000}"/>
    <cellStyle name="Note 9 2 2 2 2 2 2" xfId="32316" xr:uid="{00000000-0005-0000-0000-0000734B0000}"/>
    <cellStyle name="Note 9 2 2 2 2 3" xfId="23844" xr:uid="{00000000-0005-0000-0000-0000744B0000}"/>
    <cellStyle name="Note 9 2 2 2 3" xfId="14359" xr:uid="{00000000-0005-0000-0000-0000754B0000}"/>
    <cellStyle name="Note 9 2 2 2 3 2" xfId="29191" xr:uid="{00000000-0005-0000-0000-0000764B0000}"/>
    <cellStyle name="Note 9 2 2 2 4" xfId="11100" xr:uid="{00000000-0005-0000-0000-0000774B0000}"/>
    <cellStyle name="Note 9 2 2 2 4 2" xfId="25932" xr:uid="{00000000-0005-0000-0000-0000784B0000}"/>
    <cellStyle name="Note 9 2 2 2 5" xfId="21482" xr:uid="{00000000-0005-0000-0000-0000794B0000}"/>
    <cellStyle name="Note 9 2 2 3" xfId="4816" xr:uid="{00000000-0005-0000-0000-00007A4B0000}"/>
    <cellStyle name="Note 9 2 2 3 2" xfId="8855" xr:uid="{00000000-0005-0000-0000-00007B4B0000}"/>
    <cellStyle name="Note 9 2 2 3 2 2" xfId="17896" xr:uid="{00000000-0005-0000-0000-00007C4B0000}"/>
    <cellStyle name="Note 9 2 2 3 2 2 2" xfId="32728" xr:uid="{00000000-0005-0000-0000-00007D4B0000}"/>
    <cellStyle name="Note 9 2 2 3 2 3" xfId="24353" xr:uid="{00000000-0005-0000-0000-00007E4B0000}"/>
    <cellStyle name="Note 9 2 2 3 3" xfId="15140" xr:uid="{00000000-0005-0000-0000-00007F4B0000}"/>
    <cellStyle name="Note 9 2 2 3 3 2" xfId="29972" xr:uid="{00000000-0005-0000-0000-0000804B0000}"/>
    <cellStyle name="Note 9 2 2 3 4" xfId="11499" xr:uid="{00000000-0005-0000-0000-0000814B0000}"/>
    <cellStyle name="Note 9 2 2 3 4 2" xfId="26331" xr:uid="{00000000-0005-0000-0000-0000824B0000}"/>
    <cellStyle name="Note 9 2 2 3 5" xfId="21891" xr:uid="{00000000-0005-0000-0000-0000834B0000}"/>
    <cellStyle name="Note 9 2 2 4" xfId="2806" xr:uid="{00000000-0005-0000-0000-0000844B0000}"/>
    <cellStyle name="Note 9 2 2 4 2" xfId="6897" xr:uid="{00000000-0005-0000-0000-0000854B0000}"/>
    <cellStyle name="Note 9 2 2 4 2 2" xfId="16790" xr:uid="{00000000-0005-0000-0000-0000864B0000}"/>
    <cellStyle name="Note 9 2 2 4 2 2 2" xfId="31622" xr:uid="{00000000-0005-0000-0000-0000874B0000}"/>
    <cellStyle name="Note 9 2 2 4 2 3" xfId="23104" xr:uid="{00000000-0005-0000-0000-0000884B0000}"/>
    <cellStyle name="Note 9 2 2 4 3" xfId="13144" xr:uid="{00000000-0005-0000-0000-0000894B0000}"/>
    <cellStyle name="Note 9 2 2 4 3 2" xfId="27976" xr:uid="{00000000-0005-0000-0000-00008A4B0000}"/>
    <cellStyle name="Note 9 2 2 4 4" xfId="10443" xr:uid="{00000000-0005-0000-0000-00008B4B0000}"/>
    <cellStyle name="Note 9 2 2 4 4 2" xfId="25275" xr:uid="{00000000-0005-0000-0000-00008C4B0000}"/>
    <cellStyle name="Note 9 2 2 4 5" xfId="20764" xr:uid="{00000000-0005-0000-0000-00008D4B0000}"/>
    <cellStyle name="Note 9 2 2 5" xfId="5970" xr:uid="{00000000-0005-0000-0000-00008E4B0000}"/>
    <cellStyle name="Note 9 2 2 5 2" xfId="16162" xr:uid="{00000000-0005-0000-0000-00008F4B0000}"/>
    <cellStyle name="Note 9 2 2 5 2 2" xfId="30994" xr:uid="{00000000-0005-0000-0000-0000904B0000}"/>
    <cellStyle name="Note 9 2 2 5 3" xfId="22535" xr:uid="{00000000-0005-0000-0000-0000914B0000}"/>
    <cellStyle name="Note 9 2 2 6" xfId="12232" xr:uid="{00000000-0005-0000-0000-0000924B0000}"/>
    <cellStyle name="Note 9 2 2 6 2" xfId="27064" xr:uid="{00000000-0005-0000-0000-0000934B0000}"/>
    <cellStyle name="Note 9 2 2 7" xfId="9828" xr:uid="{00000000-0005-0000-0000-0000944B0000}"/>
    <cellStyle name="Note 9 2 2 7 2" xfId="24754" xr:uid="{00000000-0005-0000-0000-0000954B0000}"/>
    <cellStyle name="Note 9 2 2 8" xfId="20312" xr:uid="{00000000-0005-0000-0000-0000964B0000}"/>
    <cellStyle name="Note 9 2 3" xfId="3469" xr:uid="{00000000-0005-0000-0000-0000974B0000}"/>
    <cellStyle name="Note 9 2 3 2" xfId="7532" xr:uid="{00000000-0005-0000-0000-0000984B0000}"/>
    <cellStyle name="Note 9 2 3 2 2" xfId="17204" xr:uid="{00000000-0005-0000-0000-0000994B0000}"/>
    <cellStyle name="Note 9 2 3 2 2 2" xfId="32036" xr:uid="{00000000-0005-0000-0000-00009A4B0000}"/>
    <cellStyle name="Note 9 2 3 2 3" xfId="23499" xr:uid="{00000000-0005-0000-0000-00009B4B0000}"/>
    <cellStyle name="Note 9 2 3 3" xfId="13806" xr:uid="{00000000-0005-0000-0000-00009C4B0000}"/>
    <cellStyle name="Note 9 2 3 3 2" xfId="28638" xr:uid="{00000000-0005-0000-0000-00009D4B0000}"/>
    <cellStyle name="Note 9 2 3 4" xfId="10822" xr:uid="{00000000-0005-0000-0000-00009E4B0000}"/>
    <cellStyle name="Note 9 2 3 4 2" xfId="25654" xr:uid="{00000000-0005-0000-0000-00009F4B0000}"/>
    <cellStyle name="Note 9 2 3 5" xfId="21174" xr:uid="{00000000-0005-0000-0000-0000A04B0000}"/>
    <cellStyle name="Note 9 2 4" xfId="4396" xr:uid="{00000000-0005-0000-0000-0000A14B0000}"/>
    <cellStyle name="Note 9 2 4 2" xfId="8435" xr:uid="{00000000-0005-0000-0000-0000A24B0000}"/>
    <cellStyle name="Note 9 2 4 2 2" xfId="17656" xr:uid="{00000000-0005-0000-0000-0000A34B0000}"/>
    <cellStyle name="Note 9 2 4 2 2 2" xfId="32488" xr:uid="{00000000-0005-0000-0000-0000A44B0000}"/>
    <cellStyle name="Note 9 2 4 2 3" xfId="24093" xr:uid="{00000000-0005-0000-0000-0000A54B0000}"/>
    <cellStyle name="Note 9 2 4 3" xfId="14725" xr:uid="{00000000-0005-0000-0000-0000A64B0000}"/>
    <cellStyle name="Note 9 2 4 3 2" xfId="29557" xr:uid="{00000000-0005-0000-0000-0000A74B0000}"/>
    <cellStyle name="Note 9 2 4 4" xfId="11264" xr:uid="{00000000-0005-0000-0000-0000A84B0000}"/>
    <cellStyle name="Note 9 2 4 4 2" xfId="26096" xr:uid="{00000000-0005-0000-0000-0000A94B0000}"/>
    <cellStyle name="Note 9 2 4 5" xfId="21661" xr:uid="{00000000-0005-0000-0000-0000AA4B0000}"/>
    <cellStyle name="Note 9 2 5" xfId="2386" xr:uid="{00000000-0005-0000-0000-0000AB4B0000}"/>
    <cellStyle name="Note 9 2 5 2" xfId="6498" xr:uid="{00000000-0005-0000-0000-0000AC4B0000}"/>
    <cellStyle name="Note 9 2 5 2 2" xfId="16554" xr:uid="{00000000-0005-0000-0000-0000AD4B0000}"/>
    <cellStyle name="Note 9 2 5 2 2 2" xfId="31386" xr:uid="{00000000-0005-0000-0000-0000AE4B0000}"/>
    <cellStyle name="Note 9 2 5 2 3" xfId="22868" xr:uid="{00000000-0005-0000-0000-0000AF4B0000}"/>
    <cellStyle name="Note 9 2 5 3" xfId="12725" xr:uid="{00000000-0005-0000-0000-0000B04B0000}"/>
    <cellStyle name="Note 9 2 5 3 2" xfId="27557" xr:uid="{00000000-0005-0000-0000-0000B14B0000}"/>
    <cellStyle name="Note 9 2 5 4" xfId="10204" xr:uid="{00000000-0005-0000-0000-0000B24B0000}"/>
    <cellStyle name="Note 9 2 5 4 2" xfId="25036" xr:uid="{00000000-0005-0000-0000-0000B34B0000}"/>
    <cellStyle name="Note 9 2 5 5" xfId="20510" xr:uid="{00000000-0005-0000-0000-0000B44B0000}"/>
    <cellStyle name="Note 9 2 6" xfId="5511" xr:uid="{00000000-0005-0000-0000-0000B54B0000}"/>
    <cellStyle name="Note 9 2 6 2" xfId="15746" xr:uid="{00000000-0005-0000-0000-0000B64B0000}"/>
    <cellStyle name="Note 9 2 6 2 2" xfId="30578" xr:uid="{00000000-0005-0000-0000-0000B74B0000}"/>
    <cellStyle name="Note 9 2 6 3" xfId="22239" xr:uid="{00000000-0005-0000-0000-0000B84B0000}"/>
    <cellStyle name="Note 9 2 7" xfId="11761" xr:uid="{00000000-0005-0000-0000-0000B94B0000}"/>
    <cellStyle name="Note 9 2 7 2" xfId="26593" xr:uid="{00000000-0005-0000-0000-0000BA4B0000}"/>
    <cellStyle name="Note 9 2 8" xfId="9432" xr:uid="{00000000-0005-0000-0000-0000BB4B0000}"/>
    <cellStyle name="Note 9 2 8 2" xfId="19736" xr:uid="{00000000-0005-0000-0000-0000BC4B0000}"/>
    <cellStyle name="Note 9 3" xfId="1502" xr:uid="{00000000-0005-0000-0000-0000BD4B0000}"/>
    <cellStyle name="Note 9 3 2" xfId="1999" xr:uid="{00000000-0005-0000-0000-0000BE4B0000}"/>
    <cellStyle name="Note 9 3 2 2" xfId="4008" xr:uid="{00000000-0005-0000-0000-0000BF4B0000}"/>
    <cellStyle name="Note 9 3 2 2 2" xfId="8055" xr:uid="{00000000-0005-0000-0000-0000C04B0000}"/>
    <cellStyle name="Note 9 3 2 2 2 2" xfId="17471" xr:uid="{00000000-0005-0000-0000-0000C14B0000}"/>
    <cellStyle name="Note 9 3 2 2 2 2 2" xfId="32303" xr:uid="{00000000-0005-0000-0000-0000C24B0000}"/>
    <cellStyle name="Note 9 3 2 2 2 3" xfId="23834" xr:uid="{00000000-0005-0000-0000-0000C34B0000}"/>
    <cellStyle name="Note 9 3 2 2 3" xfId="14340" xr:uid="{00000000-0005-0000-0000-0000C44B0000}"/>
    <cellStyle name="Note 9 3 2 2 3 2" xfId="29172" xr:uid="{00000000-0005-0000-0000-0000C54B0000}"/>
    <cellStyle name="Note 9 3 2 2 4" xfId="11088" xr:uid="{00000000-0005-0000-0000-0000C64B0000}"/>
    <cellStyle name="Note 9 3 2 2 4 2" xfId="25920" xr:uid="{00000000-0005-0000-0000-0000C74B0000}"/>
    <cellStyle name="Note 9 3 2 2 5" xfId="21472" xr:uid="{00000000-0005-0000-0000-0000C84B0000}"/>
    <cellStyle name="Note 9 3 2 3" xfId="4967" xr:uid="{00000000-0005-0000-0000-0000C94B0000}"/>
    <cellStyle name="Note 9 3 2 3 2" xfId="9006" xr:uid="{00000000-0005-0000-0000-0000CA4B0000}"/>
    <cellStyle name="Note 9 3 2 3 2 2" xfId="17946" xr:uid="{00000000-0005-0000-0000-0000CB4B0000}"/>
    <cellStyle name="Note 9 3 2 3 2 2 2" xfId="32778" xr:uid="{00000000-0005-0000-0000-0000CC4B0000}"/>
    <cellStyle name="Note 9 3 2 3 2 3" xfId="24472" xr:uid="{00000000-0005-0000-0000-0000CD4B0000}"/>
    <cellStyle name="Note 9 3 2 3 3" xfId="15289" xr:uid="{00000000-0005-0000-0000-0000CE4B0000}"/>
    <cellStyle name="Note 9 3 2 3 3 2" xfId="30121" xr:uid="{00000000-0005-0000-0000-0000CF4B0000}"/>
    <cellStyle name="Note 9 3 2 3 4" xfId="11547" xr:uid="{00000000-0005-0000-0000-0000D04B0000}"/>
    <cellStyle name="Note 9 3 2 3 4 2" xfId="26379" xr:uid="{00000000-0005-0000-0000-0000D14B0000}"/>
    <cellStyle name="Note 9 3 2 3 5" xfId="21998" xr:uid="{00000000-0005-0000-0000-0000D24B0000}"/>
    <cellStyle name="Note 9 3 2 4" xfId="2957" xr:uid="{00000000-0005-0000-0000-0000D34B0000}"/>
    <cellStyle name="Note 9 3 2 4 2" xfId="7037" xr:uid="{00000000-0005-0000-0000-0000D44B0000}"/>
    <cellStyle name="Note 9 3 2 4 2 2" xfId="16838" xr:uid="{00000000-0005-0000-0000-0000D54B0000}"/>
    <cellStyle name="Note 9 3 2 4 2 2 2" xfId="31670" xr:uid="{00000000-0005-0000-0000-0000D64B0000}"/>
    <cellStyle name="Note 9 3 2 4 2 3" xfId="23211" xr:uid="{00000000-0005-0000-0000-0000D74B0000}"/>
    <cellStyle name="Note 9 3 2 4 3" xfId="13295" xr:uid="{00000000-0005-0000-0000-0000D84B0000}"/>
    <cellStyle name="Note 9 3 2 4 3 2" xfId="28127" xr:uid="{00000000-0005-0000-0000-0000D94B0000}"/>
    <cellStyle name="Note 9 3 2 4 4" xfId="10493" xr:uid="{00000000-0005-0000-0000-0000DA4B0000}"/>
    <cellStyle name="Note 9 3 2 4 4 2" xfId="25325" xr:uid="{00000000-0005-0000-0000-0000DB4B0000}"/>
    <cellStyle name="Note 9 3 2 4 5" xfId="20883" xr:uid="{00000000-0005-0000-0000-0000DC4B0000}"/>
    <cellStyle name="Note 9 3 2 5" xfId="6129" xr:uid="{00000000-0005-0000-0000-0000DD4B0000}"/>
    <cellStyle name="Note 9 3 2 5 2" xfId="16316" xr:uid="{00000000-0005-0000-0000-0000DE4B0000}"/>
    <cellStyle name="Note 9 3 2 5 2 2" xfId="31148" xr:uid="{00000000-0005-0000-0000-0000DF4B0000}"/>
    <cellStyle name="Note 9 3 2 5 3" xfId="22662" xr:uid="{00000000-0005-0000-0000-0000E04B0000}"/>
    <cellStyle name="Note 9 3 2 6" xfId="12386" xr:uid="{00000000-0005-0000-0000-0000E14B0000}"/>
    <cellStyle name="Note 9 3 2 6 2" xfId="27218" xr:uid="{00000000-0005-0000-0000-0000E24B0000}"/>
    <cellStyle name="Note 9 3 2 7" xfId="9968" xr:uid="{00000000-0005-0000-0000-0000E34B0000}"/>
    <cellStyle name="Note 9 3 2 7 2" xfId="24802" xr:uid="{00000000-0005-0000-0000-0000E44B0000}"/>
    <cellStyle name="Note 9 3 2 8" xfId="20343" xr:uid="{00000000-0005-0000-0000-0000E54B0000}"/>
    <cellStyle name="Note 9 3 3" xfId="3323" xr:uid="{00000000-0005-0000-0000-0000E64B0000}"/>
    <cellStyle name="Note 9 3 3 2" xfId="7386" xr:uid="{00000000-0005-0000-0000-0000E74B0000}"/>
    <cellStyle name="Note 9 3 3 2 2" xfId="17119" xr:uid="{00000000-0005-0000-0000-0000E84B0000}"/>
    <cellStyle name="Note 9 3 3 2 2 2" xfId="31951" xr:uid="{00000000-0005-0000-0000-0000E94B0000}"/>
    <cellStyle name="Note 9 3 3 2 3" xfId="23399" xr:uid="{00000000-0005-0000-0000-0000EA4B0000}"/>
    <cellStyle name="Note 9 3 3 3" xfId="13660" xr:uid="{00000000-0005-0000-0000-0000EB4B0000}"/>
    <cellStyle name="Note 9 3 3 3 2" xfId="28492" xr:uid="{00000000-0005-0000-0000-0000EC4B0000}"/>
    <cellStyle name="Note 9 3 3 4" xfId="10740" xr:uid="{00000000-0005-0000-0000-0000ED4B0000}"/>
    <cellStyle name="Note 9 3 3 4 2" xfId="25572" xr:uid="{00000000-0005-0000-0000-0000EE4B0000}"/>
    <cellStyle name="Note 9 3 3 5" xfId="21087" xr:uid="{00000000-0005-0000-0000-0000EF4B0000}"/>
    <cellStyle name="Note 9 3 4" xfId="4547" xr:uid="{00000000-0005-0000-0000-0000F04B0000}"/>
    <cellStyle name="Note 9 3 4 2" xfId="8586" xr:uid="{00000000-0005-0000-0000-0000F14B0000}"/>
    <cellStyle name="Note 9 3 4 2 2" xfId="17706" xr:uid="{00000000-0005-0000-0000-0000F24B0000}"/>
    <cellStyle name="Note 9 3 4 2 2 2" xfId="32538" xr:uid="{00000000-0005-0000-0000-0000F34B0000}"/>
    <cellStyle name="Note 9 3 4 2 3" xfId="24212" xr:uid="{00000000-0005-0000-0000-0000F44B0000}"/>
    <cellStyle name="Note 9 3 4 3" xfId="14874" xr:uid="{00000000-0005-0000-0000-0000F54B0000}"/>
    <cellStyle name="Note 9 3 4 3 2" xfId="29706" xr:uid="{00000000-0005-0000-0000-0000F64B0000}"/>
    <cellStyle name="Note 9 3 4 4" xfId="11312" xr:uid="{00000000-0005-0000-0000-0000F74B0000}"/>
    <cellStyle name="Note 9 3 4 4 2" xfId="26144" xr:uid="{00000000-0005-0000-0000-0000F84B0000}"/>
    <cellStyle name="Note 9 3 4 5" xfId="21768" xr:uid="{00000000-0005-0000-0000-0000F94B0000}"/>
    <cellStyle name="Note 9 3 5" xfId="2537" xr:uid="{00000000-0005-0000-0000-0000FA4B0000}"/>
    <cellStyle name="Note 9 3 5 2" xfId="6643" xr:uid="{00000000-0005-0000-0000-0000FB4B0000}"/>
    <cellStyle name="Note 9 3 5 2 2" xfId="16603" xr:uid="{00000000-0005-0000-0000-0000FC4B0000}"/>
    <cellStyle name="Note 9 3 5 2 2 2" xfId="31435" xr:uid="{00000000-0005-0000-0000-0000FD4B0000}"/>
    <cellStyle name="Note 9 3 5 2 3" xfId="22981" xr:uid="{00000000-0005-0000-0000-0000FE4B0000}"/>
    <cellStyle name="Note 9 3 5 3" xfId="12875" xr:uid="{00000000-0005-0000-0000-0000FF4B0000}"/>
    <cellStyle name="Note 9 3 5 3 2" xfId="27707" xr:uid="{00000000-0005-0000-0000-0000004C0000}"/>
    <cellStyle name="Note 9 3 5 4" xfId="10253" xr:uid="{00000000-0005-0000-0000-0000014C0000}"/>
    <cellStyle name="Note 9 3 5 4 2" xfId="25085" xr:uid="{00000000-0005-0000-0000-0000024C0000}"/>
    <cellStyle name="Note 9 3 5 5" xfId="20623" xr:uid="{00000000-0005-0000-0000-0000034C0000}"/>
    <cellStyle name="Note 9 3 6" xfId="5660" xr:uid="{00000000-0005-0000-0000-0000044C0000}"/>
    <cellStyle name="Note 9 3 6 2" xfId="15895" xr:uid="{00000000-0005-0000-0000-0000054C0000}"/>
    <cellStyle name="Note 9 3 6 2 2" xfId="30727" xr:uid="{00000000-0005-0000-0000-0000064C0000}"/>
    <cellStyle name="Note 9 3 6 3" xfId="22356" xr:uid="{00000000-0005-0000-0000-0000074C0000}"/>
    <cellStyle name="Note 9 3 7" xfId="11915" xr:uid="{00000000-0005-0000-0000-0000084C0000}"/>
    <cellStyle name="Note 9 3 7 2" xfId="26747" xr:uid="{00000000-0005-0000-0000-0000094C0000}"/>
    <cellStyle name="Note 9 3 8" xfId="9573" xr:uid="{00000000-0005-0000-0000-00000A4C0000}"/>
    <cellStyle name="Note 9 3 8 2" xfId="19875" xr:uid="{00000000-0005-0000-0000-00000B4C0000}"/>
    <cellStyle name="Note 9 4" xfId="1559" xr:uid="{00000000-0005-0000-0000-00000C4C0000}"/>
    <cellStyle name="Note 9 4 2" xfId="2056" xr:uid="{00000000-0005-0000-0000-00000D4C0000}"/>
    <cellStyle name="Note 9 4 2 2" xfId="3385" xr:uid="{00000000-0005-0000-0000-00000E4C0000}"/>
    <cellStyle name="Note 9 4 2 2 2" xfId="7448" xr:uid="{00000000-0005-0000-0000-00000F4C0000}"/>
    <cellStyle name="Note 9 4 2 2 2 2" xfId="17154" xr:uid="{00000000-0005-0000-0000-0000104C0000}"/>
    <cellStyle name="Note 9 4 2 2 2 2 2" xfId="31986" xr:uid="{00000000-0005-0000-0000-0000114C0000}"/>
    <cellStyle name="Note 9 4 2 2 2 3" xfId="23440" xr:uid="{00000000-0005-0000-0000-0000124C0000}"/>
    <cellStyle name="Note 9 4 2 2 3" xfId="13722" xr:uid="{00000000-0005-0000-0000-0000134C0000}"/>
    <cellStyle name="Note 9 4 2 2 3 2" xfId="28554" xr:uid="{00000000-0005-0000-0000-0000144C0000}"/>
    <cellStyle name="Note 9 4 2 2 4" xfId="10773" xr:uid="{00000000-0005-0000-0000-0000154C0000}"/>
    <cellStyle name="Note 9 4 2 2 4 2" xfId="25605" xr:uid="{00000000-0005-0000-0000-0000164C0000}"/>
    <cellStyle name="Note 9 4 2 2 5" xfId="21122" xr:uid="{00000000-0005-0000-0000-0000174C0000}"/>
    <cellStyle name="Note 9 4 2 3" xfId="5024" xr:uid="{00000000-0005-0000-0000-0000184C0000}"/>
    <cellStyle name="Note 9 4 2 3 2" xfId="9063" xr:uid="{00000000-0005-0000-0000-0000194C0000}"/>
    <cellStyle name="Note 9 4 2 3 2 2" xfId="17996" xr:uid="{00000000-0005-0000-0000-00001A4C0000}"/>
    <cellStyle name="Note 9 4 2 3 2 2 2" xfId="32828" xr:uid="{00000000-0005-0000-0000-00001B4C0000}"/>
    <cellStyle name="Note 9 4 2 3 2 3" xfId="24497" xr:uid="{00000000-0005-0000-0000-00001C4C0000}"/>
    <cellStyle name="Note 9 4 2 3 3" xfId="15345" xr:uid="{00000000-0005-0000-0000-00001D4C0000}"/>
    <cellStyle name="Note 9 4 2 3 3 2" xfId="30177" xr:uid="{00000000-0005-0000-0000-00001E4C0000}"/>
    <cellStyle name="Note 9 4 2 3 4" xfId="11596" xr:uid="{00000000-0005-0000-0000-00001F4C0000}"/>
    <cellStyle name="Note 9 4 2 3 4 2" xfId="26428" xr:uid="{00000000-0005-0000-0000-0000204C0000}"/>
    <cellStyle name="Note 9 4 2 3 5" xfId="22017" xr:uid="{00000000-0005-0000-0000-0000214C0000}"/>
    <cellStyle name="Note 9 4 2 4" xfId="3014" xr:uid="{00000000-0005-0000-0000-0000224C0000}"/>
    <cellStyle name="Note 9 4 2 4 2" xfId="7089" xr:uid="{00000000-0005-0000-0000-0000234C0000}"/>
    <cellStyle name="Note 9 4 2 4 2 2" xfId="16887" xr:uid="{00000000-0005-0000-0000-0000244C0000}"/>
    <cellStyle name="Note 9 4 2 4 2 2 2" xfId="31719" xr:uid="{00000000-0005-0000-0000-0000254C0000}"/>
    <cellStyle name="Note 9 4 2 4 2 3" xfId="23230" xr:uid="{00000000-0005-0000-0000-0000264C0000}"/>
    <cellStyle name="Note 9 4 2 4 3" xfId="13352" xr:uid="{00000000-0005-0000-0000-0000274C0000}"/>
    <cellStyle name="Note 9 4 2 4 3 2" xfId="28184" xr:uid="{00000000-0005-0000-0000-0000284C0000}"/>
    <cellStyle name="Note 9 4 2 4 4" xfId="10543" xr:uid="{00000000-0005-0000-0000-0000294C0000}"/>
    <cellStyle name="Note 9 4 2 4 4 2" xfId="25375" xr:uid="{00000000-0005-0000-0000-00002A4C0000}"/>
    <cellStyle name="Note 9 4 2 4 5" xfId="20908" xr:uid="{00000000-0005-0000-0000-00002B4C0000}"/>
    <cellStyle name="Note 9 4 2 5" xfId="6181" xr:uid="{00000000-0005-0000-0000-00002C4C0000}"/>
    <cellStyle name="Note 9 4 2 5 2" xfId="16367" xr:uid="{00000000-0005-0000-0000-00002D4C0000}"/>
    <cellStyle name="Note 9 4 2 5 2 2" xfId="31199" xr:uid="{00000000-0005-0000-0000-00002E4C0000}"/>
    <cellStyle name="Note 9 4 2 5 3" xfId="22681" xr:uid="{00000000-0005-0000-0000-00002F4C0000}"/>
    <cellStyle name="Note 9 4 2 6" xfId="12437" xr:uid="{00000000-0005-0000-0000-0000304C0000}"/>
    <cellStyle name="Note 9 4 2 6 2" xfId="27269" xr:uid="{00000000-0005-0000-0000-0000314C0000}"/>
    <cellStyle name="Note 9 4 2 7" xfId="10019" xr:uid="{00000000-0005-0000-0000-0000324C0000}"/>
    <cellStyle name="Note 9 4 2 7 2" xfId="24851" xr:uid="{00000000-0005-0000-0000-0000334C0000}"/>
    <cellStyle name="Note 9 4 2 8" xfId="20360" xr:uid="{00000000-0005-0000-0000-0000344C0000}"/>
    <cellStyle name="Note 9 4 3" xfId="3273" xr:uid="{00000000-0005-0000-0000-0000354C0000}"/>
    <cellStyle name="Note 9 4 3 2" xfId="7337" xr:uid="{00000000-0005-0000-0000-0000364C0000}"/>
    <cellStyle name="Note 9 4 3 2 2" xfId="17081" xr:uid="{00000000-0005-0000-0000-0000374C0000}"/>
    <cellStyle name="Note 9 4 3 2 2 2" xfId="31913" xr:uid="{00000000-0005-0000-0000-0000384C0000}"/>
    <cellStyle name="Note 9 4 3 2 3" xfId="23368" xr:uid="{00000000-0005-0000-0000-0000394C0000}"/>
    <cellStyle name="Note 9 4 3 3" xfId="13610" xr:uid="{00000000-0005-0000-0000-00003A4C0000}"/>
    <cellStyle name="Note 9 4 3 3 2" xfId="28442" xr:uid="{00000000-0005-0000-0000-00003B4C0000}"/>
    <cellStyle name="Note 9 4 3 4" xfId="10709" xr:uid="{00000000-0005-0000-0000-00003C4C0000}"/>
    <cellStyle name="Note 9 4 3 4 2" xfId="25541" xr:uid="{00000000-0005-0000-0000-00003D4C0000}"/>
    <cellStyle name="Note 9 4 3 5" xfId="21055" xr:uid="{00000000-0005-0000-0000-00003E4C0000}"/>
    <cellStyle name="Note 9 4 4" xfId="4604" xr:uid="{00000000-0005-0000-0000-00003F4C0000}"/>
    <cellStyle name="Note 9 4 4 2" xfId="8643" xr:uid="{00000000-0005-0000-0000-0000404C0000}"/>
    <cellStyle name="Note 9 4 4 2 2" xfId="17756" xr:uid="{00000000-0005-0000-0000-0000414C0000}"/>
    <cellStyle name="Note 9 4 4 2 2 2" xfId="32588" xr:uid="{00000000-0005-0000-0000-0000424C0000}"/>
    <cellStyle name="Note 9 4 4 2 3" xfId="24237" xr:uid="{00000000-0005-0000-0000-0000434C0000}"/>
    <cellStyle name="Note 9 4 4 3" xfId="14930" xr:uid="{00000000-0005-0000-0000-0000444C0000}"/>
    <cellStyle name="Note 9 4 4 3 2" xfId="29762" xr:uid="{00000000-0005-0000-0000-0000454C0000}"/>
    <cellStyle name="Note 9 4 4 4" xfId="11361" xr:uid="{00000000-0005-0000-0000-0000464C0000}"/>
    <cellStyle name="Note 9 4 4 4 2" xfId="26193" xr:uid="{00000000-0005-0000-0000-0000474C0000}"/>
    <cellStyle name="Note 9 4 4 5" xfId="21787" xr:uid="{00000000-0005-0000-0000-0000484C0000}"/>
    <cellStyle name="Note 9 4 5" xfId="2594" xr:uid="{00000000-0005-0000-0000-0000494C0000}"/>
    <cellStyle name="Note 9 4 5 2" xfId="6695" xr:uid="{00000000-0005-0000-0000-00004A4C0000}"/>
    <cellStyle name="Note 9 4 5 2 2" xfId="16652" xr:uid="{00000000-0005-0000-0000-00004B4C0000}"/>
    <cellStyle name="Note 9 4 5 2 2 2" xfId="31484" xr:uid="{00000000-0005-0000-0000-00004C4C0000}"/>
    <cellStyle name="Note 9 4 5 2 3" xfId="23000" xr:uid="{00000000-0005-0000-0000-00004D4C0000}"/>
    <cellStyle name="Note 9 4 5 3" xfId="12932" xr:uid="{00000000-0005-0000-0000-00004E4C0000}"/>
    <cellStyle name="Note 9 4 5 3 2" xfId="27764" xr:uid="{00000000-0005-0000-0000-00004F4C0000}"/>
    <cellStyle name="Note 9 4 5 4" xfId="10303" xr:uid="{00000000-0005-0000-0000-0000504C0000}"/>
    <cellStyle name="Note 9 4 5 4 2" xfId="25135" xr:uid="{00000000-0005-0000-0000-0000514C0000}"/>
    <cellStyle name="Note 9 4 5 5" xfId="20648" xr:uid="{00000000-0005-0000-0000-0000524C0000}"/>
    <cellStyle name="Note 9 4 6" xfId="5711" xr:uid="{00000000-0005-0000-0000-0000534C0000}"/>
    <cellStyle name="Note 9 4 6 2" xfId="15946" xr:uid="{00000000-0005-0000-0000-0000544C0000}"/>
    <cellStyle name="Note 9 4 6 2 2" xfId="30778" xr:uid="{00000000-0005-0000-0000-0000554C0000}"/>
    <cellStyle name="Note 9 4 6 3" xfId="22375" xr:uid="{00000000-0005-0000-0000-0000564C0000}"/>
    <cellStyle name="Note 9 4 7" xfId="11966" xr:uid="{00000000-0005-0000-0000-0000574C0000}"/>
    <cellStyle name="Note 9 4 7 2" xfId="26798" xr:uid="{00000000-0005-0000-0000-0000584C0000}"/>
    <cellStyle name="Note 9 4 8" xfId="9625" xr:uid="{00000000-0005-0000-0000-0000594C0000}"/>
    <cellStyle name="Note 9 4 8 2" xfId="19926" xr:uid="{00000000-0005-0000-0000-00005A4C0000}"/>
    <cellStyle name="Note 9 5" xfId="1536" xr:uid="{00000000-0005-0000-0000-00005B4C0000}"/>
    <cellStyle name="Note 9 5 2" xfId="2033" xr:uid="{00000000-0005-0000-0000-00005C4C0000}"/>
    <cellStyle name="Note 9 5 2 2" xfId="3449" xr:uid="{00000000-0005-0000-0000-00005D4C0000}"/>
    <cellStyle name="Note 9 5 2 2 2" xfId="7512" xr:uid="{00000000-0005-0000-0000-00005E4C0000}"/>
    <cellStyle name="Note 9 5 2 2 2 2" xfId="17196" xr:uid="{00000000-0005-0000-0000-00005F4C0000}"/>
    <cellStyle name="Note 9 5 2 2 2 2 2" xfId="32028" xr:uid="{00000000-0005-0000-0000-0000604C0000}"/>
    <cellStyle name="Note 9 5 2 2 2 3" xfId="23483" xr:uid="{00000000-0005-0000-0000-0000614C0000}"/>
    <cellStyle name="Note 9 5 2 2 3" xfId="13786" xr:uid="{00000000-0005-0000-0000-0000624C0000}"/>
    <cellStyle name="Note 9 5 2 2 3 2" xfId="28618" xr:uid="{00000000-0005-0000-0000-0000634C0000}"/>
    <cellStyle name="Note 9 5 2 2 4" xfId="10815" xr:uid="{00000000-0005-0000-0000-0000644C0000}"/>
    <cellStyle name="Note 9 5 2 2 4 2" xfId="25647" xr:uid="{00000000-0005-0000-0000-0000654C0000}"/>
    <cellStyle name="Note 9 5 2 2 5" xfId="21159" xr:uid="{00000000-0005-0000-0000-0000664C0000}"/>
    <cellStyle name="Note 9 5 2 3" xfId="5001" xr:uid="{00000000-0005-0000-0000-0000674C0000}"/>
    <cellStyle name="Note 9 5 2 3 2" xfId="9040" xr:uid="{00000000-0005-0000-0000-0000684C0000}"/>
    <cellStyle name="Note 9 5 2 3 2 2" xfId="17978" xr:uid="{00000000-0005-0000-0000-0000694C0000}"/>
    <cellStyle name="Note 9 5 2 3 2 2 2" xfId="32810" xr:uid="{00000000-0005-0000-0000-00006A4C0000}"/>
    <cellStyle name="Note 9 5 2 3 2 3" xfId="24490" xr:uid="{00000000-0005-0000-0000-00006B4C0000}"/>
    <cellStyle name="Note 9 5 2 3 3" xfId="15323" xr:uid="{00000000-0005-0000-0000-00006C4C0000}"/>
    <cellStyle name="Note 9 5 2 3 3 2" xfId="30155" xr:uid="{00000000-0005-0000-0000-00006D4C0000}"/>
    <cellStyle name="Note 9 5 2 3 4" xfId="11579" xr:uid="{00000000-0005-0000-0000-00006E4C0000}"/>
    <cellStyle name="Note 9 5 2 3 4 2" xfId="26411" xr:uid="{00000000-0005-0000-0000-00006F4C0000}"/>
    <cellStyle name="Note 9 5 2 3 5" xfId="22016" xr:uid="{00000000-0005-0000-0000-0000704C0000}"/>
    <cellStyle name="Note 9 5 2 4" xfId="2991" xr:uid="{00000000-0005-0000-0000-0000714C0000}"/>
    <cellStyle name="Note 9 5 2 4 2" xfId="7071" xr:uid="{00000000-0005-0000-0000-0000724C0000}"/>
    <cellStyle name="Note 9 5 2 4 2 2" xfId="16870" xr:uid="{00000000-0005-0000-0000-0000734C0000}"/>
    <cellStyle name="Note 9 5 2 4 2 2 2" xfId="31702" xr:uid="{00000000-0005-0000-0000-0000744C0000}"/>
    <cellStyle name="Note 9 5 2 4 2 3" xfId="23229" xr:uid="{00000000-0005-0000-0000-0000754C0000}"/>
    <cellStyle name="Note 9 5 2 4 3" xfId="13329" xr:uid="{00000000-0005-0000-0000-0000764C0000}"/>
    <cellStyle name="Note 9 5 2 4 3 2" xfId="28161" xr:uid="{00000000-0005-0000-0000-0000774C0000}"/>
    <cellStyle name="Note 9 5 2 4 4" xfId="10525" xr:uid="{00000000-0005-0000-0000-0000784C0000}"/>
    <cellStyle name="Note 9 5 2 4 4 2" xfId="25357" xr:uid="{00000000-0005-0000-0000-0000794C0000}"/>
    <cellStyle name="Note 9 5 2 4 5" xfId="20901" xr:uid="{00000000-0005-0000-0000-00007A4C0000}"/>
    <cellStyle name="Note 9 5 2 5" xfId="6163" xr:uid="{00000000-0005-0000-0000-00007B4C0000}"/>
    <cellStyle name="Note 9 5 2 5 2" xfId="16350" xr:uid="{00000000-0005-0000-0000-00007C4C0000}"/>
    <cellStyle name="Note 9 5 2 5 2 2" xfId="31182" xr:uid="{00000000-0005-0000-0000-00007D4C0000}"/>
    <cellStyle name="Note 9 5 2 5 3" xfId="22680" xr:uid="{00000000-0005-0000-0000-00007E4C0000}"/>
    <cellStyle name="Note 9 5 2 6" xfId="12420" xr:uid="{00000000-0005-0000-0000-00007F4C0000}"/>
    <cellStyle name="Note 9 5 2 6 2" xfId="27252" xr:uid="{00000000-0005-0000-0000-0000804C0000}"/>
    <cellStyle name="Note 9 5 2 7" xfId="10002" xr:uid="{00000000-0005-0000-0000-0000814C0000}"/>
    <cellStyle name="Note 9 5 2 7 2" xfId="24834" xr:uid="{00000000-0005-0000-0000-0000824C0000}"/>
    <cellStyle name="Note 9 5 2 8" xfId="20359" xr:uid="{00000000-0005-0000-0000-0000834C0000}"/>
    <cellStyle name="Note 9 5 3" xfId="3202" xr:uid="{00000000-0005-0000-0000-0000844C0000}"/>
    <cellStyle name="Note 9 5 3 2" xfId="7266" xr:uid="{00000000-0005-0000-0000-0000854C0000}"/>
    <cellStyle name="Note 9 5 3 2 2" xfId="17033" xr:uid="{00000000-0005-0000-0000-0000864C0000}"/>
    <cellStyle name="Note 9 5 3 2 2 2" xfId="31865" xr:uid="{00000000-0005-0000-0000-0000874C0000}"/>
    <cellStyle name="Note 9 5 3 2 3" xfId="23316" xr:uid="{00000000-0005-0000-0000-0000884C0000}"/>
    <cellStyle name="Note 9 5 3 3" xfId="13540" xr:uid="{00000000-0005-0000-0000-0000894C0000}"/>
    <cellStyle name="Note 9 5 3 3 2" xfId="28372" xr:uid="{00000000-0005-0000-0000-00008A4C0000}"/>
    <cellStyle name="Note 9 5 3 4" xfId="10677" xr:uid="{00000000-0005-0000-0000-00008B4C0000}"/>
    <cellStyle name="Note 9 5 3 4 2" xfId="25509" xr:uid="{00000000-0005-0000-0000-00008C4C0000}"/>
    <cellStyle name="Note 9 5 3 5" xfId="21006" xr:uid="{00000000-0005-0000-0000-00008D4C0000}"/>
    <cellStyle name="Note 9 5 4" xfId="4581" xr:uid="{00000000-0005-0000-0000-00008E4C0000}"/>
    <cellStyle name="Note 9 5 4 2" xfId="8620" xr:uid="{00000000-0005-0000-0000-00008F4C0000}"/>
    <cellStyle name="Note 9 5 4 2 2" xfId="17738" xr:uid="{00000000-0005-0000-0000-0000904C0000}"/>
    <cellStyle name="Note 9 5 4 2 2 2" xfId="32570" xr:uid="{00000000-0005-0000-0000-0000914C0000}"/>
    <cellStyle name="Note 9 5 4 2 3" xfId="24230" xr:uid="{00000000-0005-0000-0000-0000924C0000}"/>
    <cellStyle name="Note 9 5 4 3" xfId="14908" xr:uid="{00000000-0005-0000-0000-0000934C0000}"/>
    <cellStyle name="Note 9 5 4 3 2" xfId="29740" xr:uid="{00000000-0005-0000-0000-0000944C0000}"/>
    <cellStyle name="Note 9 5 4 4" xfId="11344" xr:uid="{00000000-0005-0000-0000-0000954C0000}"/>
    <cellStyle name="Note 9 5 4 4 2" xfId="26176" xr:uid="{00000000-0005-0000-0000-0000964C0000}"/>
    <cellStyle name="Note 9 5 4 5" xfId="21786" xr:uid="{00000000-0005-0000-0000-0000974C0000}"/>
    <cellStyle name="Note 9 5 5" xfId="2571" xr:uid="{00000000-0005-0000-0000-0000984C0000}"/>
    <cellStyle name="Note 9 5 5 2" xfId="6677" xr:uid="{00000000-0005-0000-0000-0000994C0000}"/>
    <cellStyle name="Note 9 5 5 2 2" xfId="16635" xr:uid="{00000000-0005-0000-0000-00009A4C0000}"/>
    <cellStyle name="Note 9 5 5 2 2 2" xfId="31467" xr:uid="{00000000-0005-0000-0000-00009B4C0000}"/>
    <cellStyle name="Note 9 5 5 2 3" xfId="22999" xr:uid="{00000000-0005-0000-0000-00009C4C0000}"/>
    <cellStyle name="Note 9 5 5 3" xfId="12909" xr:uid="{00000000-0005-0000-0000-00009D4C0000}"/>
    <cellStyle name="Note 9 5 5 3 2" xfId="27741" xr:uid="{00000000-0005-0000-0000-00009E4C0000}"/>
    <cellStyle name="Note 9 5 5 4" xfId="10285" xr:uid="{00000000-0005-0000-0000-00009F4C0000}"/>
    <cellStyle name="Note 9 5 5 4 2" xfId="25117" xr:uid="{00000000-0005-0000-0000-0000A04C0000}"/>
    <cellStyle name="Note 9 5 5 5" xfId="20641" xr:uid="{00000000-0005-0000-0000-0000A14C0000}"/>
    <cellStyle name="Note 9 5 6" xfId="5694" xr:uid="{00000000-0005-0000-0000-0000A24C0000}"/>
    <cellStyle name="Note 9 5 6 2" xfId="15929" xr:uid="{00000000-0005-0000-0000-0000A34C0000}"/>
    <cellStyle name="Note 9 5 6 2 2" xfId="30761" xr:uid="{00000000-0005-0000-0000-0000A44C0000}"/>
    <cellStyle name="Note 9 5 6 3" xfId="22374" xr:uid="{00000000-0005-0000-0000-0000A54C0000}"/>
    <cellStyle name="Note 9 5 7" xfId="11949" xr:uid="{00000000-0005-0000-0000-0000A64C0000}"/>
    <cellStyle name="Note 9 5 7 2" xfId="26781" xr:uid="{00000000-0005-0000-0000-0000A74C0000}"/>
    <cellStyle name="Note 9 5 8" xfId="9607" xr:uid="{00000000-0005-0000-0000-0000A84C0000}"/>
    <cellStyle name="Note 9 5 8 2" xfId="19909" xr:uid="{00000000-0005-0000-0000-0000A94C0000}"/>
    <cellStyle name="Note 9 6" xfId="1760" xr:uid="{00000000-0005-0000-0000-0000AA4C0000}"/>
    <cellStyle name="Note 9 6 2" xfId="3580" xr:uid="{00000000-0005-0000-0000-0000AB4C0000}"/>
    <cellStyle name="Note 9 6 2 2" xfId="7642" xr:uid="{00000000-0005-0000-0000-0000AC4C0000}"/>
    <cellStyle name="Note 9 6 2 2 2" xfId="17266" xr:uid="{00000000-0005-0000-0000-0000AD4C0000}"/>
    <cellStyle name="Note 9 6 2 2 2 2" xfId="32098" xr:uid="{00000000-0005-0000-0000-0000AE4C0000}"/>
    <cellStyle name="Note 9 6 2 2 3" xfId="23564" xr:uid="{00000000-0005-0000-0000-0000AF4C0000}"/>
    <cellStyle name="Note 9 6 2 3" xfId="13916" xr:uid="{00000000-0005-0000-0000-0000B04C0000}"/>
    <cellStyle name="Note 9 6 2 3 2" xfId="28748" xr:uid="{00000000-0005-0000-0000-0000B14C0000}"/>
    <cellStyle name="Note 9 6 2 4" xfId="10883" xr:uid="{00000000-0005-0000-0000-0000B24C0000}"/>
    <cellStyle name="Note 9 6 2 4 2" xfId="25715" xr:uid="{00000000-0005-0000-0000-0000B34C0000}"/>
    <cellStyle name="Note 9 6 2 5" xfId="21233" xr:uid="{00000000-0005-0000-0000-0000B44C0000}"/>
    <cellStyle name="Note 9 6 3" xfId="4738" xr:uid="{00000000-0005-0000-0000-0000B54C0000}"/>
    <cellStyle name="Note 9 6 3 2" xfId="8777" xr:uid="{00000000-0005-0000-0000-0000B64C0000}"/>
    <cellStyle name="Note 9 6 3 2 2" xfId="17849" xr:uid="{00000000-0005-0000-0000-0000B74C0000}"/>
    <cellStyle name="Note 9 6 3 2 2 2" xfId="32681" xr:uid="{00000000-0005-0000-0000-0000B84C0000}"/>
    <cellStyle name="Note 9 6 3 2 3" xfId="24307" xr:uid="{00000000-0005-0000-0000-0000B94C0000}"/>
    <cellStyle name="Note 9 6 3 3" xfId="15062" xr:uid="{00000000-0005-0000-0000-0000BA4C0000}"/>
    <cellStyle name="Note 9 6 3 3 2" xfId="29894" xr:uid="{00000000-0005-0000-0000-0000BB4C0000}"/>
    <cellStyle name="Note 9 6 3 4" xfId="11452" xr:uid="{00000000-0005-0000-0000-0000BC4C0000}"/>
    <cellStyle name="Note 9 6 3 4 2" xfId="26284" xr:uid="{00000000-0005-0000-0000-0000BD4C0000}"/>
    <cellStyle name="Note 9 6 3 5" xfId="21845" xr:uid="{00000000-0005-0000-0000-0000BE4C0000}"/>
    <cellStyle name="Note 9 6 4" xfId="2728" xr:uid="{00000000-0005-0000-0000-0000BF4C0000}"/>
    <cellStyle name="Note 9 6 4 2" xfId="6819" xr:uid="{00000000-0005-0000-0000-0000C04C0000}"/>
    <cellStyle name="Note 9 6 4 2 2" xfId="16743" xr:uid="{00000000-0005-0000-0000-0000C14C0000}"/>
    <cellStyle name="Note 9 6 4 2 2 2" xfId="31575" xr:uid="{00000000-0005-0000-0000-0000C24C0000}"/>
    <cellStyle name="Note 9 6 4 2 3" xfId="23058" xr:uid="{00000000-0005-0000-0000-0000C34C0000}"/>
    <cellStyle name="Note 9 6 4 3" xfId="13066" xr:uid="{00000000-0005-0000-0000-0000C44C0000}"/>
    <cellStyle name="Note 9 6 4 3 2" xfId="27898" xr:uid="{00000000-0005-0000-0000-0000C54C0000}"/>
    <cellStyle name="Note 9 6 4 4" xfId="10396" xr:uid="{00000000-0005-0000-0000-0000C64C0000}"/>
    <cellStyle name="Note 9 6 4 4 2" xfId="25228" xr:uid="{00000000-0005-0000-0000-0000C74C0000}"/>
    <cellStyle name="Note 9 6 4 5" xfId="20718" xr:uid="{00000000-0005-0000-0000-0000C84C0000}"/>
    <cellStyle name="Note 9 6 5" xfId="5892" xr:uid="{00000000-0005-0000-0000-0000C94C0000}"/>
    <cellStyle name="Note 9 6 5 2" xfId="16084" xr:uid="{00000000-0005-0000-0000-0000CA4C0000}"/>
    <cellStyle name="Note 9 6 5 2 2" xfId="30916" xr:uid="{00000000-0005-0000-0000-0000CB4C0000}"/>
    <cellStyle name="Note 9 6 5 3" xfId="22489" xr:uid="{00000000-0005-0000-0000-0000CC4C0000}"/>
    <cellStyle name="Note 9 6 6" xfId="12154" xr:uid="{00000000-0005-0000-0000-0000CD4C0000}"/>
    <cellStyle name="Note 9 6 6 2" xfId="26986" xr:uid="{00000000-0005-0000-0000-0000CE4C0000}"/>
    <cellStyle name="Note 9 6 7" xfId="9750" xr:uid="{00000000-0005-0000-0000-0000CF4C0000}"/>
    <cellStyle name="Note 9 6 7 2" xfId="24707" xr:uid="{00000000-0005-0000-0000-0000D04C0000}"/>
    <cellStyle name="Note 9 6 8" xfId="20297" xr:uid="{00000000-0005-0000-0000-0000D14C0000}"/>
    <cellStyle name="Note 9 7" xfId="2206" xr:uid="{00000000-0005-0000-0000-0000D24C0000}"/>
    <cellStyle name="Note 9 7 2" xfId="4106" xr:uid="{00000000-0005-0000-0000-0000D34C0000}"/>
    <cellStyle name="Note 9 7 2 2" xfId="8152" xr:uid="{00000000-0005-0000-0000-0000D44C0000}"/>
    <cellStyle name="Note 9 7 2 2 2" xfId="17522" xr:uid="{00000000-0005-0000-0000-0000D54C0000}"/>
    <cellStyle name="Note 9 7 2 2 2 2" xfId="32354" xr:uid="{00000000-0005-0000-0000-0000D64C0000}"/>
    <cellStyle name="Note 9 7 2 2 3" xfId="23894" xr:uid="{00000000-0005-0000-0000-0000D74C0000}"/>
    <cellStyle name="Note 9 7 2 3" xfId="14438" xr:uid="{00000000-0005-0000-0000-0000D84C0000}"/>
    <cellStyle name="Note 9 7 2 3 2" xfId="29270" xr:uid="{00000000-0005-0000-0000-0000D94C0000}"/>
    <cellStyle name="Note 9 7 2 4" xfId="11139" xr:uid="{00000000-0005-0000-0000-0000DA4C0000}"/>
    <cellStyle name="Note 9 7 2 4 2" xfId="25971" xr:uid="{00000000-0005-0000-0000-0000DB4C0000}"/>
    <cellStyle name="Note 9 7 2 5" xfId="21524" xr:uid="{00000000-0005-0000-0000-0000DC4C0000}"/>
    <cellStyle name="Note 9 7 3" xfId="5174" xr:uid="{00000000-0005-0000-0000-0000DD4C0000}"/>
    <cellStyle name="Note 9 7 3 2" xfId="9213" xr:uid="{00000000-0005-0000-0000-0000DE4C0000}"/>
    <cellStyle name="Note 9 7 3 2 2" xfId="18136" xr:uid="{00000000-0005-0000-0000-0000DF4C0000}"/>
    <cellStyle name="Note 9 7 3 2 2 2" xfId="32968" xr:uid="{00000000-0005-0000-0000-0000E04C0000}"/>
    <cellStyle name="Note 9 7 3 2 3" xfId="24551" xr:uid="{00000000-0005-0000-0000-0000E14C0000}"/>
    <cellStyle name="Note 9 7 3 3" xfId="15492" xr:uid="{00000000-0005-0000-0000-0000E24C0000}"/>
    <cellStyle name="Note 9 7 3 3 2" xfId="30324" xr:uid="{00000000-0005-0000-0000-0000E34C0000}"/>
    <cellStyle name="Note 9 7 3 4" xfId="11733" xr:uid="{00000000-0005-0000-0000-0000E44C0000}"/>
    <cellStyle name="Note 9 7 3 4 2" xfId="26565" xr:uid="{00000000-0005-0000-0000-0000E54C0000}"/>
    <cellStyle name="Note 9 7 3 5" xfId="22058" xr:uid="{00000000-0005-0000-0000-0000E64C0000}"/>
    <cellStyle name="Note 9 7 4" xfId="4204" xr:uid="{00000000-0005-0000-0000-0000E74C0000}"/>
    <cellStyle name="Note 9 7 4 2" xfId="8245" xr:uid="{00000000-0005-0000-0000-0000E84C0000}"/>
    <cellStyle name="Note 9 7 4 2 2" xfId="17592" xr:uid="{00000000-0005-0000-0000-0000E94C0000}"/>
    <cellStyle name="Note 9 7 4 2 2 2" xfId="32424" xr:uid="{00000000-0005-0000-0000-0000EA4C0000}"/>
    <cellStyle name="Note 9 7 4 2 3" xfId="23940" xr:uid="{00000000-0005-0000-0000-0000EB4C0000}"/>
    <cellStyle name="Note 9 7 4 3" xfId="14536" xr:uid="{00000000-0005-0000-0000-0000EC4C0000}"/>
    <cellStyle name="Note 9 7 4 3 2" xfId="29368" xr:uid="{00000000-0005-0000-0000-0000ED4C0000}"/>
    <cellStyle name="Note 9 7 4 4" xfId="11212" xr:uid="{00000000-0005-0000-0000-0000EE4C0000}"/>
    <cellStyle name="Note 9 7 4 4 2" xfId="26044" xr:uid="{00000000-0005-0000-0000-0000EF4C0000}"/>
    <cellStyle name="Note 9 7 4 5" xfId="21565" xr:uid="{00000000-0005-0000-0000-0000F04C0000}"/>
    <cellStyle name="Note 9 7 5" xfId="6320" xr:uid="{00000000-0005-0000-0000-0000F14C0000}"/>
    <cellStyle name="Note 9 7 5 2" xfId="16504" xr:uid="{00000000-0005-0000-0000-0000F24C0000}"/>
    <cellStyle name="Note 9 7 5 2 2" xfId="31336" xr:uid="{00000000-0005-0000-0000-0000F34C0000}"/>
    <cellStyle name="Note 9 7 5 3" xfId="22722" xr:uid="{00000000-0005-0000-0000-0000F44C0000}"/>
    <cellStyle name="Note 9 7 6" xfId="12574" xr:uid="{00000000-0005-0000-0000-0000F54C0000}"/>
    <cellStyle name="Note 9 7 6 2" xfId="27406" xr:uid="{00000000-0005-0000-0000-0000F64C0000}"/>
    <cellStyle name="Note 9 7 7" xfId="10156" xr:uid="{00000000-0005-0000-0000-0000F74C0000}"/>
    <cellStyle name="Note 9 7 7 2" xfId="24988" xr:uid="{00000000-0005-0000-0000-0000F84C0000}"/>
    <cellStyle name="Note 9 7 8" xfId="20401" xr:uid="{00000000-0005-0000-0000-0000F94C0000}"/>
    <cellStyle name="Note 9 8" xfId="3285" xr:uid="{00000000-0005-0000-0000-0000FA4C0000}"/>
    <cellStyle name="Note 9 8 2" xfId="7349" xr:uid="{00000000-0005-0000-0000-0000FB4C0000}"/>
    <cellStyle name="Note 9 8 2 2" xfId="17092" xr:uid="{00000000-0005-0000-0000-0000FC4C0000}"/>
    <cellStyle name="Note 9 8 2 2 2" xfId="31924" xr:uid="{00000000-0005-0000-0000-0000FD4C0000}"/>
    <cellStyle name="Note 9 8 2 3" xfId="23376" xr:uid="{00000000-0005-0000-0000-0000FE4C0000}"/>
    <cellStyle name="Note 9 8 3" xfId="13622" xr:uid="{00000000-0005-0000-0000-0000FF4C0000}"/>
    <cellStyle name="Note 9 8 3 2" xfId="28454" xr:uid="{00000000-0005-0000-0000-0000004D0000}"/>
    <cellStyle name="Note 9 8 4" xfId="10719" xr:uid="{00000000-0005-0000-0000-0000014D0000}"/>
    <cellStyle name="Note 9 8 4 2" xfId="25551" xr:uid="{00000000-0005-0000-0000-0000024D0000}"/>
    <cellStyle name="Note 9 8 5" xfId="21063" xr:uid="{00000000-0005-0000-0000-0000034D0000}"/>
    <cellStyle name="Note 9 9" xfId="4290" xr:uid="{00000000-0005-0000-0000-0000044D0000}"/>
    <cellStyle name="Note 9 9 2" xfId="8329" xr:uid="{00000000-0005-0000-0000-0000054D0000}"/>
    <cellStyle name="Note 9 9 2 2" xfId="17611" xr:uid="{00000000-0005-0000-0000-0000064D0000}"/>
    <cellStyle name="Note 9 9 2 2 2" xfId="32443" xr:uid="{00000000-0005-0000-0000-0000074D0000}"/>
    <cellStyle name="Note 9 9 2 3" xfId="24017" xr:uid="{00000000-0005-0000-0000-0000084D0000}"/>
    <cellStyle name="Note 9 9 3" xfId="14622" xr:uid="{00000000-0005-0000-0000-0000094D0000}"/>
    <cellStyle name="Note 9 9 3 2" xfId="29454" xr:uid="{00000000-0005-0000-0000-00000A4D0000}"/>
    <cellStyle name="Note 9 9 4" xfId="11225" xr:uid="{00000000-0005-0000-0000-00000B4D0000}"/>
    <cellStyle name="Note 9 9 4 2" xfId="26057" xr:uid="{00000000-0005-0000-0000-00000C4D0000}"/>
    <cellStyle name="Note 9 9 5" xfId="21615" xr:uid="{00000000-0005-0000-0000-00000D4D0000}"/>
    <cellStyle name="Output 10" xfId="1230" xr:uid="{00000000-0005-0000-0000-00000E4D0000}"/>
    <cellStyle name="Output 10 10" xfId="2316" xr:uid="{00000000-0005-0000-0000-00000F4D0000}"/>
    <cellStyle name="Output 10 10 2" xfId="6428" xr:uid="{00000000-0005-0000-0000-0000104D0000}"/>
    <cellStyle name="Output 10 10 2 2" xfId="16521" xr:uid="{00000000-0005-0000-0000-0000114D0000}"/>
    <cellStyle name="Output 10 10 2 2 2" xfId="31353" xr:uid="{00000000-0005-0000-0000-0000124D0000}"/>
    <cellStyle name="Output 10 10 2 3" xfId="18609" xr:uid="{00000000-0005-0000-0000-0000134D0000}"/>
    <cellStyle name="Output 10 10 3" xfId="12656" xr:uid="{00000000-0005-0000-0000-0000144D0000}"/>
    <cellStyle name="Output 10 10 3 2" xfId="27488" xr:uid="{00000000-0005-0000-0000-0000154D0000}"/>
    <cellStyle name="Output 10 10 4" xfId="10172" xr:uid="{00000000-0005-0000-0000-0000164D0000}"/>
    <cellStyle name="Output 10 10 4 2" xfId="25004" xr:uid="{00000000-0005-0000-0000-0000174D0000}"/>
    <cellStyle name="Output 10 11" xfId="5279" xr:uid="{00000000-0005-0000-0000-0000184D0000}"/>
    <cellStyle name="Output 10 11 2" xfId="9287" xr:uid="{00000000-0005-0000-0000-0000194D0000}"/>
    <cellStyle name="Output 10 11 2 2" xfId="18154" xr:uid="{00000000-0005-0000-0000-00001A4D0000}"/>
    <cellStyle name="Output 10 11 2 2 2" xfId="32986" xr:uid="{00000000-0005-0000-0000-00001B4D0000}"/>
    <cellStyle name="Output 10 11 2 3" xfId="19673" xr:uid="{00000000-0005-0000-0000-00001C4D0000}"/>
    <cellStyle name="Output 10 11 3" xfId="15595" xr:uid="{00000000-0005-0000-0000-00001D4D0000}"/>
    <cellStyle name="Output 10 11 3 2" xfId="30427" xr:uid="{00000000-0005-0000-0000-00001E4D0000}"/>
    <cellStyle name="Output 10 12" xfId="5437" xr:uid="{00000000-0005-0000-0000-00001F4D0000}"/>
    <cellStyle name="Output 10 12 2" xfId="15673" xr:uid="{00000000-0005-0000-0000-0000204D0000}"/>
    <cellStyle name="Output 10 12 2 2" xfId="30505" xr:uid="{00000000-0005-0000-0000-0000214D0000}"/>
    <cellStyle name="Output 10 12 3" xfId="18250" xr:uid="{00000000-0005-0000-0000-0000224D0000}"/>
    <cellStyle name="Output 10 13" xfId="9354" xr:uid="{00000000-0005-0000-0000-0000234D0000}"/>
    <cellStyle name="Output 10 13 2" xfId="24660" xr:uid="{00000000-0005-0000-0000-0000244D0000}"/>
    <cellStyle name="Output 10 14" xfId="5343" xr:uid="{00000000-0005-0000-0000-0000254D0000}"/>
    <cellStyle name="Output 10 14 2" xfId="18217" xr:uid="{00000000-0005-0000-0000-0000264D0000}"/>
    <cellStyle name="Output 10 2" xfId="1349" xr:uid="{00000000-0005-0000-0000-0000274D0000}"/>
    <cellStyle name="Output 10 2 2" xfId="1853" xr:uid="{00000000-0005-0000-0000-0000284D0000}"/>
    <cellStyle name="Output 10 2 2 2" xfId="4082" xr:uid="{00000000-0005-0000-0000-0000294D0000}"/>
    <cellStyle name="Output 10 2 2 2 2" xfId="8128" xr:uid="{00000000-0005-0000-0000-00002A4D0000}"/>
    <cellStyle name="Output 10 2 2 2 2 2" xfId="17509" xr:uid="{00000000-0005-0000-0000-00002B4D0000}"/>
    <cellStyle name="Output 10 2 2 2 2 2 2" xfId="32341" xr:uid="{00000000-0005-0000-0000-00002C4D0000}"/>
    <cellStyle name="Output 10 2 2 2 2 3" xfId="19260" xr:uid="{00000000-0005-0000-0000-00002D4D0000}"/>
    <cellStyle name="Output 10 2 2 2 3" xfId="14414" xr:uid="{00000000-0005-0000-0000-00002E4D0000}"/>
    <cellStyle name="Output 10 2 2 2 3 2" xfId="29246" xr:uid="{00000000-0005-0000-0000-00002F4D0000}"/>
    <cellStyle name="Output 10 2 2 2 4" xfId="11126" xr:uid="{00000000-0005-0000-0000-0000304D0000}"/>
    <cellStyle name="Output 10 2 2 2 4 2" xfId="25958" xr:uid="{00000000-0005-0000-0000-0000314D0000}"/>
    <cellStyle name="Output 10 2 2 3" xfId="4831" xr:uid="{00000000-0005-0000-0000-0000324D0000}"/>
    <cellStyle name="Output 10 2 2 3 2" xfId="8870" xr:uid="{00000000-0005-0000-0000-0000334D0000}"/>
    <cellStyle name="Output 10 2 2 3 2 2" xfId="17911" xr:uid="{00000000-0005-0000-0000-0000344D0000}"/>
    <cellStyle name="Output 10 2 2 3 2 2 2" xfId="32743" xr:uid="{00000000-0005-0000-0000-0000354D0000}"/>
    <cellStyle name="Output 10 2 2 3 2 3" xfId="19513" xr:uid="{00000000-0005-0000-0000-0000364D0000}"/>
    <cellStyle name="Output 10 2 2 3 3" xfId="15155" xr:uid="{00000000-0005-0000-0000-0000374D0000}"/>
    <cellStyle name="Output 10 2 2 3 3 2" xfId="29987" xr:uid="{00000000-0005-0000-0000-0000384D0000}"/>
    <cellStyle name="Output 10 2 2 3 4" xfId="11514" xr:uid="{00000000-0005-0000-0000-0000394D0000}"/>
    <cellStyle name="Output 10 2 2 3 4 2" xfId="26346" xr:uid="{00000000-0005-0000-0000-00003A4D0000}"/>
    <cellStyle name="Output 10 2 2 4" xfId="2821" xr:uid="{00000000-0005-0000-0000-00003B4D0000}"/>
    <cellStyle name="Output 10 2 2 4 2" xfId="6912" xr:uid="{00000000-0005-0000-0000-00003C4D0000}"/>
    <cellStyle name="Output 10 2 2 4 2 2" xfId="16805" xr:uid="{00000000-0005-0000-0000-00003D4D0000}"/>
    <cellStyle name="Output 10 2 2 4 2 2 2" xfId="31637" xr:uid="{00000000-0005-0000-0000-00003E4D0000}"/>
    <cellStyle name="Output 10 2 2 4 2 3" xfId="18804" xr:uid="{00000000-0005-0000-0000-00003F4D0000}"/>
    <cellStyle name="Output 10 2 2 4 3" xfId="13159" xr:uid="{00000000-0005-0000-0000-0000404D0000}"/>
    <cellStyle name="Output 10 2 2 4 3 2" xfId="27991" xr:uid="{00000000-0005-0000-0000-0000414D0000}"/>
    <cellStyle name="Output 10 2 2 4 4" xfId="10458" xr:uid="{00000000-0005-0000-0000-0000424D0000}"/>
    <cellStyle name="Output 10 2 2 4 4 2" xfId="25290" xr:uid="{00000000-0005-0000-0000-0000434D0000}"/>
    <cellStyle name="Output 10 2 2 5" xfId="5985" xr:uid="{00000000-0005-0000-0000-0000444D0000}"/>
    <cellStyle name="Output 10 2 2 5 2" xfId="16177" xr:uid="{00000000-0005-0000-0000-0000454D0000}"/>
    <cellStyle name="Output 10 2 2 5 2 2" xfId="31009" xr:uid="{00000000-0005-0000-0000-0000464D0000}"/>
    <cellStyle name="Output 10 2 2 5 3" xfId="18446" xr:uid="{00000000-0005-0000-0000-0000474D0000}"/>
    <cellStyle name="Output 10 2 2 6" xfId="12247" xr:uid="{00000000-0005-0000-0000-0000484D0000}"/>
    <cellStyle name="Output 10 2 2 6 2" xfId="27079" xr:uid="{00000000-0005-0000-0000-0000494D0000}"/>
    <cellStyle name="Output 10 2 2 7" xfId="9843" xr:uid="{00000000-0005-0000-0000-00004A4D0000}"/>
    <cellStyle name="Output 10 2 2 7 2" xfId="24769" xr:uid="{00000000-0005-0000-0000-00004B4D0000}"/>
    <cellStyle name="Output 10 2 3" xfId="3185" xr:uid="{00000000-0005-0000-0000-00004C4D0000}"/>
    <cellStyle name="Output 10 2 3 2" xfId="7249" xr:uid="{00000000-0005-0000-0000-00004D4D0000}"/>
    <cellStyle name="Output 10 2 3 2 2" xfId="17019" xr:uid="{00000000-0005-0000-0000-00004E4D0000}"/>
    <cellStyle name="Output 10 2 3 2 2 2" xfId="31851" xr:uid="{00000000-0005-0000-0000-00004F4D0000}"/>
    <cellStyle name="Output 10 2 3 2 3" xfId="18953" xr:uid="{00000000-0005-0000-0000-0000504D0000}"/>
    <cellStyle name="Output 10 2 3 3" xfId="13523" xr:uid="{00000000-0005-0000-0000-0000514D0000}"/>
    <cellStyle name="Output 10 2 3 3 2" xfId="28355" xr:uid="{00000000-0005-0000-0000-0000524D0000}"/>
    <cellStyle name="Output 10 2 3 4" xfId="10667" xr:uid="{00000000-0005-0000-0000-0000534D0000}"/>
    <cellStyle name="Output 10 2 3 4 2" xfId="25499" xr:uid="{00000000-0005-0000-0000-0000544D0000}"/>
    <cellStyle name="Output 10 2 4" xfId="4411" xr:uid="{00000000-0005-0000-0000-0000554D0000}"/>
    <cellStyle name="Output 10 2 4 2" xfId="8450" xr:uid="{00000000-0005-0000-0000-0000564D0000}"/>
    <cellStyle name="Output 10 2 4 2 2" xfId="17671" xr:uid="{00000000-0005-0000-0000-0000574D0000}"/>
    <cellStyle name="Output 10 2 4 2 2 2" xfId="32503" xr:uid="{00000000-0005-0000-0000-0000584D0000}"/>
    <cellStyle name="Output 10 2 4 2 3" xfId="19353" xr:uid="{00000000-0005-0000-0000-0000594D0000}"/>
    <cellStyle name="Output 10 2 4 3" xfId="14740" xr:uid="{00000000-0005-0000-0000-00005A4D0000}"/>
    <cellStyle name="Output 10 2 4 3 2" xfId="29572" xr:uid="{00000000-0005-0000-0000-00005B4D0000}"/>
    <cellStyle name="Output 10 2 4 4" xfId="11279" xr:uid="{00000000-0005-0000-0000-00005C4D0000}"/>
    <cellStyle name="Output 10 2 4 4 2" xfId="26111" xr:uid="{00000000-0005-0000-0000-00005D4D0000}"/>
    <cellStyle name="Output 10 2 5" xfId="2401" xr:uid="{00000000-0005-0000-0000-00005E4D0000}"/>
    <cellStyle name="Output 10 2 5 2" xfId="6513" xr:uid="{00000000-0005-0000-0000-00005F4D0000}"/>
    <cellStyle name="Output 10 2 5 2 2" xfId="16569" xr:uid="{00000000-0005-0000-0000-0000604D0000}"/>
    <cellStyle name="Output 10 2 5 2 2 2" xfId="31401" xr:uid="{00000000-0005-0000-0000-0000614D0000}"/>
    <cellStyle name="Output 10 2 5 2 3" xfId="18641" xr:uid="{00000000-0005-0000-0000-0000624D0000}"/>
    <cellStyle name="Output 10 2 5 3" xfId="12740" xr:uid="{00000000-0005-0000-0000-0000634D0000}"/>
    <cellStyle name="Output 10 2 5 3 2" xfId="27572" xr:uid="{00000000-0005-0000-0000-0000644D0000}"/>
    <cellStyle name="Output 10 2 5 4" xfId="10219" xr:uid="{00000000-0005-0000-0000-0000654D0000}"/>
    <cellStyle name="Output 10 2 5 4 2" xfId="25051" xr:uid="{00000000-0005-0000-0000-0000664D0000}"/>
    <cellStyle name="Output 10 2 6" xfId="5526" xr:uid="{00000000-0005-0000-0000-0000674D0000}"/>
    <cellStyle name="Output 10 2 6 2" xfId="15761" xr:uid="{00000000-0005-0000-0000-0000684D0000}"/>
    <cellStyle name="Output 10 2 6 2 2" xfId="30593" xr:uid="{00000000-0005-0000-0000-0000694D0000}"/>
    <cellStyle name="Output 10 2 6 3" xfId="18283" xr:uid="{00000000-0005-0000-0000-00006A4D0000}"/>
    <cellStyle name="Output 10 2 7" xfId="11776" xr:uid="{00000000-0005-0000-0000-00006B4D0000}"/>
    <cellStyle name="Output 10 2 7 2" xfId="26608" xr:uid="{00000000-0005-0000-0000-00006C4D0000}"/>
    <cellStyle name="Output 10 2 8" xfId="9447" xr:uid="{00000000-0005-0000-0000-00006D4D0000}"/>
    <cellStyle name="Output 10 2 8 2" xfId="19751" xr:uid="{00000000-0005-0000-0000-00006E4D0000}"/>
    <cellStyle name="Output 10 3" xfId="1519" xr:uid="{00000000-0005-0000-0000-00006F4D0000}"/>
    <cellStyle name="Output 10 3 2" xfId="2016" xr:uid="{00000000-0005-0000-0000-0000704D0000}"/>
    <cellStyle name="Output 10 3 2 2" xfId="3528" xr:uid="{00000000-0005-0000-0000-0000714D0000}"/>
    <cellStyle name="Output 10 3 2 2 2" xfId="7590" xr:uid="{00000000-0005-0000-0000-0000724D0000}"/>
    <cellStyle name="Output 10 3 2 2 2 2" xfId="17235" xr:uid="{00000000-0005-0000-0000-0000734D0000}"/>
    <cellStyle name="Output 10 3 2 2 2 2 2" xfId="32067" xr:uid="{00000000-0005-0000-0000-0000744D0000}"/>
    <cellStyle name="Output 10 3 2 2 2 3" xfId="19063" xr:uid="{00000000-0005-0000-0000-0000754D0000}"/>
    <cellStyle name="Output 10 3 2 2 3" xfId="13865" xr:uid="{00000000-0005-0000-0000-0000764D0000}"/>
    <cellStyle name="Output 10 3 2 2 3 2" xfId="28697" xr:uid="{00000000-0005-0000-0000-0000774D0000}"/>
    <cellStyle name="Output 10 3 2 2 4" xfId="10853" xr:uid="{00000000-0005-0000-0000-0000784D0000}"/>
    <cellStyle name="Output 10 3 2 2 4 2" xfId="25685" xr:uid="{00000000-0005-0000-0000-0000794D0000}"/>
    <cellStyle name="Output 10 3 2 3" xfId="4984" xr:uid="{00000000-0005-0000-0000-00007A4D0000}"/>
    <cellStyle name="Output 10 3 2 3 2" xfId="9023" xr:uid="{00000000-0005-0000-0000-00007B4D0000}"/>
    <cellStyle name="Output 10 3 2 3 2 2" xfId="17961" xr:uid="{00000000-0005-0000-0000-00007C4D0000}"/>
    <cellStyle name="Output 10 3 2 3 2 2 2" xfId="32793" xr:uid="{00000000-0005-0000-0000-00007D4D0000}"/>
    <cellStyle name="Output 10 3 2 3 2 3" xfId="19545" xr:uid="{00000000-0005-0000-0000-00007E4D0000}"/>
    <cellStyle name="Output 10 3 2 3 3" xfId="15306" xr:uid="{00000000-0005-0000-0000-00007F4D0000}"/>
    <cellStyle name="Output 10 3 2 3 3 2" xfId="30138" xr:uid="{00000000-0005-0000-0000-0000804D0000}"/>
    <cellStyle name="Output 10 3 2 3 4" xfId="11562" xr:uid="{00000000-0005-0000-0000-0000814D0000}"/>
    <cellStyle name="Output 10 3 2 3 4 2" xfId="26394" xr:uid="{00000000-0005-0000-0000-0000824D0000}"/>
    <cellStyle name="Output 10 3 2 4" xfId="2974" xr:uid="{00000000-0005-0000-0000-0000834D0000}"/>
    <cellStyle name="Output 10 3 2 4 2" xfId="7054" xr:uid="{00000000-0005-0000-0000-0000844D0000}"/>
    <cellStyle name="Output 10 3 2 4 2 2" xfId="16853" xr:uid="{00000000-0005-0000-0000-0000854D0000}"/>
    <cellStyle name="Output 10 3 2 4 2 2 2" xfId="31685" xr:uid="{00000000-0005-0000-0000-0000864D0000}"/>
    <cellStyle name="Output 10 3 2 4 2 3" xfId="18837" xr:uid="{00000000-0005-0000-0000-0000874D0000}"/>
    <cellStyle name="Output 10 3 2 4 3" xfId="13312" xr:uid="{00000000-0005-0000-0000-0000884D0000}"/>
    <cellStyle name="Output 10 3 2 4 3 2" xfId="28144" xr:uid="{00000000-0005-0000-0000-0000894D0000}"/>
    <cellStyle name="Output 10 3 2 4 4" xfId="10508" xr:uid="{00000000-0005-0000-0000-00008A4D0000}"/>
    <cellStyle name="Output 10 3 2 4 4 2" xfId="25340" xr:uid="{00000000-0005-0000-0000-00008B4D0000}"/>
    <cellStyle name="Output 10 3 2 5" xfId="6146" xr:uid="{00000000-0005-0000-0000-00008C4D0000}"/>
    <cellStyle name="Output 10 3 2 5 2" xfId="16333" xr:uid="{00000000-0005-0000-0000-00008D4D0000}"/>
    <cellStyle name="Output 10 3 2 5 2 2" xfId="31165" xr:uid="{00000000-0005-0000-0000-00008E4D0000}"/>
    <cellStyle name="Output 10 3 2 5 3" xfId="18478" xr:uid="{00000000-0005-0000-0000-00008F4D0000}"/>
    <cellStyle name="Output 10 3 2 6" xfId="12403" xr:uid="{00000000-0005-0000-0000-0000904D0000}"/>
    <cellStyle name="Output 10 3 2 6 2" xfId="27235" xr:uid="{00000000-0005-0000-0000-0000914D0000}"/>
    <cellStyle name="Output 10 3 2 7" xfId="9985" xr:uid="{00000000-0005-0000-0000-0000924D0000}"/>
    <cellStyle name="Output 10 3 2 7 2" xfId="24817" xr:uid="{00000000-0005-0000-0000-0000934D0000}"/>
    <cellStyle name="Output 10 3 3" xfId="3293" xr:uid="{00000000-0005-0000-0000-0000944D0000}"/>
    <cellStyle name="Output 10 3 3 2" xfId="7357" xr:uid="{00000000-0005-0000-0000-0000954D0000}"/>
    <cellStyle name="Output 10 3 3 2 2" xfId="17099" xr:uid="{00000000-0005-0000-0000-0000964D0000}"/>
    <cellStyle name="Output 10 3 3 2 2 2" xfId="31931" xr:uid="{00000000-0005-0000-0000-0000974D0000}"/>
    <cellStyle name="Output 10 3 3 2 3" xfId="18987" xr:uid="{00000000-0005-0000-0000-0000984D0000}"/>
    <cellStyle name="Output 10 3 3 3" xfId="13630" xr:uid="{00000000-0005-0000-0000-0000994D0000}"/>
    <cellStyle name="Output 10 3 3 3 2" xfId="28462" xr:uid="{00000000-0005-0000-0000-00009A4D0000}"/>
    <cellStyle name="Output 10 3 3 4" xfId="10725" xr:uid="{00000000-0005-0000-0000-00009B4D0000}"/>
    <cellStyle name="Output 10 3 3 4 2" xfId="25557" xr:uid="{00000000-0005-0000-0000-00009C4D0000}"/>
    <cellStyle name="Output 10 3 4" xfId="4564" xr:uid="{00000000-0005-0000-0000-00009D4D0000}"/>
    <cellStyle name="Output 10 3 4 2" xfId="8603" xr:uid="{00000000-0005-0000-0000-00009E4D0000}"/>
    <cellStyle name="Output 10 3 4 2 2" xfId="17721" xr:uid="{00000000-0005-0000-0000-00009F4D0000}"/>
    <cellStyle name="Output 10 3 4 2 2 2" xfId="32553" xr:uid="{00000000-0005-0000-0000-0000A04D0000}"/>
    <cellStyle name="Output 10 3 4 2 3" xfId="19385" xr:uid="{00000000-0005-0000-0000-0000A14D0000}"/>
    <cellStyle name="Output 10 3 4 3" xfId="14891" xr:uid="{00000000-0005-0000-0000-0000A24D0000}"/>
    <cellStyle name="Output 10 3 4 3 2" xfId="29723" xr:uid="{00000000-0005-0000-0000-0000A34D0000}"/>
    <cellStyle name="Output 10 3 4 4" xfId="11327" xr:uid="{00000000-0005-0000-0000-0000A44D0000}"/>
    <cellStyle name="Output 10 3 4 4 2" xfId="26159" xr:uid="{00000000-0005-0000-0000-0000A54D0000}"/>
    <cellStyle name="Output 10 3 5" xfId="2554" xr:uid="{00000000-0005-0000-0000-0000A64D0000}"/>
    <cellStyle name="Output 10 3 5 2" xfId="6660" xr:uid="{00000000-0005-0000-0000-0000A74D0000}"/>
    <cellStyle name="Output 10 3 5 2 2" xfId="16618" xr:uid="{00000000-0005-0000-0000-0000A84D0000}"/>
    <cellStyle name="Output 10 3 5 2 2 2" xfId="31450" xr:uid="{00000000-0005-0000-0000-0000A94D0000}"/>
    <cellStyle name="Output 10 3 5 2 3" xfId="18673" xr:uid="{00000000-0005-0000-0000-0000AA4D0000}"/>
    <cellStyle name="Output 10 3 5 3" xfId="12892" xr:uid="{00000000-0005-0000-0000-0000AB4D0000}"/>
    <cellStyle name="Output 10 3 5 3 2" xfId="27724" xr:uid="{00000000-0005-0000-0000-0000AC4D0000}"/>
    <cellStyle name="Output 10 3 5 4" xfId="10268" xr:uid="{00000000-0005-0000-0000-0000AD4D0000}"/>
    <cellStyle name="Output 10 3 5 4 2" xfId="25100" xr:uid="{00000000-0005-0000-0000-0000AE4D0000}"/>
    <cellStyle name="Output 10 3 6" xfId="5677" xr:uid="{00000000-0005-0000-0000-0000AF4D0000}"/>
    <cellStyle name="Output 10 3 6 2" xfId="15912" xr:uid="{00000000-0005-0000-0000-0000B04D0000}"/>
    <cellStyle name="Output 10 3 6 2 2" xfId="30744" xr:uid="{00000000-0005-0000-0000-0000B14D0000}"/>
    <cellStyle name="Output 10 3 6 3" xfId="18315" xr:uid="{00000000-0005-0000-0000-0000B24D0000}"/>
    <cellStyle name="Output 10 3 7" xfId="11932" xr:uid="{00000000-0005-0000-0000-0000B34D0000}"/>
    <cellStyle name="Output 10 3 7 2" xfId="26764" xr:uid="{00000000-0005-0000-0000-0000B44D0000}"/>
    <cellStyle name="Output 10 3 8" xfId="9590" xr:uid="{00000000-0005-0000-0000-0000B54D0000}"/>
    <cellStyle name="Output 10 3 8 2" xfId="19892" xr:uid="{00000000-0005-0000-0000-0000B64D0000}"/>
    <cellStyle name="Output 10 4" xfId="1574" xr:uid="{00000000-0005-0000-0000-0000B74D0000}"/>
    <cellStyle name="Output 10 4 2" xfId="2071" xr:uid="{00000000-0005-0000-0000-0000B84D0000}"/>
    <cellStyle name="Output 10 4 2 2" xfId="3712" xr:uid="{00000000-0005-0000-0000-0000B94D0000}"/>
    <cellStyle name="Output 10 4 2 2 2" xfId="7768" xr:uid="{00000000-0005-0000-0000-0000BA4D0000}"/>
    <cellStyle name="Output 10 4 2 2 2 2" xfId="17329" xr:uid="{00000000-0005-0000-0000-0000BB4D0000}"/>
    <cellStyle name="Output 10 4 2 2 2 2 2" xfId="32161" xr:uid="{00000000-0005-0000-0000-0000BC4D0000}"/>
    <cellStyle name="Output 10 4 2 2 2 3" xfId="19129" xr:uid="{00000000-0005-0000-0000-0000BD4D0000}"/>
    <cellStyle name="Output 10 4 2 2 3" xfId="14047" xr:uid="{00000000-0005-0000-0000-0000BE4D0000}"/>
    <cellStyle name="Output 10 4 2 2 3 2" xfId="28879" xr:uid="{00000000-0005-0000-0000-0000BF4D0000}"/>
    <cellStyle name="Output 10 4 2 2 4" xfId="10947" xr:uid="{00000000-0005-0000-0000-0000C04D0000}"/>
    <cellStyle name="Output 10 4 2 2 4 2" xfId="25779" xr:uid="{00000000-0005-0000-0000-0000C14D0000}"/>
    <cellStyle name="Output 10 4 2 3" xfId="5039" xr:uid="{00000000-0005-0000-0000-0000C24D0000}"/>
    <cellStyle name="Output 10 4 2 3 2" xfId="9078" xr:uid="{00000000-0005-0000-0000-0000C34D0000}"/>
    <cellStyle name="Output 10 4 2 3 2 2" xfId="18011" xr:uid="{00000000-0005-0000-0000-0000C44D0000}"/>
    <cellStyle name="Output 10 4 2 3 2 2 2" xfId="32843" xr:uid="{00000000-0005-0000-0000-0000C54D0000}"/>
    <cellStyle name="Output 10 4 2 3 2 3" xfId="19577" xr:uid="{00000000-0005-0000-0000-0000C64D0000}"/>
    <cellStyle name="Output 10 4 2 3 3" xfId="15360" xr:uid="{00000000-0005-0000-0000-0000C74D0000}"/>
    <cellStyle name="Output 10 4 2 3 3 2" xfId="30192" xr:uid="{00000000-0005-0000-0000-0000C84D0000}"/>
    <cellStyle name="Output 10 4 2 3 4" xfId="11611" xr:uid="{00000000-0005-0000-0000-0000C94D0000}"/>
    <cellStyle name="Output 10 4 2 3 4 2" xfId="26443" xr:uid="{00000000-0005-0000-0000-0000CA4D0000}"/>
    <cellStyle name="Output 10 4 2 4" xfId="3029" xr:uid="{00000000-0005-0000-0000-0000CB4D0000}"/>
    <cellStyle name="Output 10 4 2 4 2" xfId="7104" xr:uid="{00000000-0005-0000-0000-0000CC4D0000}"/>
    <cellStyle name="Output 10 4 2 4 2 2" xfId="16902" xr:uid="{00000000-0005-0000-0000-0000CD4D0000}"/>
    <cellStyle name="Output 10 4 2 4 2 2 2" xfId="31734" xr:uid="{00000000-0005-0000-0000-0000CE4D0000}"/>
    <cellStyle name="Output 10 4 2 4 2 3" xfId="18870" xr:uid="{00000000-0005-0000-0000-0000CF4D0000}"/>
    <cellStyle name="Output 10 4 2 4 3" xfId="13367" xr:uid="{00000000-0005-0000-0000-0000D04D0000}"/>
    <cellStyle name="Output 10 4 2 4 3 2" xfId="28199" xr:uid="{00000000-0005-0000-0000-0000D14D0000}"/>
    <cellStyle name="Output 10 4 2 4 4" xfId="10558" xr:uid="{00000000-0005-0000-0000-0000D24D0000}"/>
    <cellStyle name="Output 10 4 2 4 4 2" xfId="25390" xr:uid="{00000000-0005-0000-0000-0000D34D0000}"/>
    <cellStyle name="Output 10 4 2 5" xfId="6196" xr:uid="{00000000-0005-0000-0000-0000D44D0000}"/>
    <cellStyle name="Output 10 4 2 5 2" xfId="16382" xr:uid="{00000000-0005-0000-0000-0000D54D0000}"/>
    <cellStyle name="Output 10 4 2 5 2 2" xfId="31214" xr:uid="{00000000-0005-0000-0000-0000D64D0000}"/>
    <cellStyle name="Output 10 4 2 5 3" xfId="18511" xr:uid="{00000000-0005-0000-0000-0000D74D0000}"/>
    <cellStyle name="Output 10 4 2 6" xfId="12452" xr:uid="{00000000-0005-0000-0000-0000D84D0000}"/>
    <cellStyle name="Output 10 4 2 6 2" xfId="27284" xr:uid="{00000000-0005-0000-0000-0000D94D0000}"/>
    <cellStyle name="Output 10 4 2 7" xfId="10034" xr:uid="{00000000-0005-0000-0000-0000DA4D0000}"/>
    <cellStyle name="Output 10 4 2 7 2" xfId="24866" xr:uid="{00000000-0005-0000-0000-0000DB4D0000}"/>
    <cellStyle name="Output 10 4 3" xfId="3684" xr:uid="{00000000-0005-0000-0000-0000DC4D0000}"/>
    <cellStyle name="Output 10 4 3 2" xfId="7741" xr:uid="{00000000-0005-0000-0000-0000DD4D0000}"/>
    <cellStyle name="Output 10 4 3 2 2" xfId="17313" xr:uid="{00000000-0005-0000-0000-0000DE4D0000}"/>
    <cellStyle name="Output 10 4 3 2 2 2" xfId="32145" xr:uid="{00000000-0005-0000-0000-0000DF4D0000}"/>
    <cellStyle name="Output 10 4 3 2 3" xfId="19121" xr:uid="{00000000-0005-0000-0000-0000E04D0000}"/>
    <cellStyle name="Output 10 4 3 3" xfId="14019" xr:uid="{00000000-0005-0000-0000-0000E14D0000}"/>
    <cellStyle name="Output 10 4 3 3 2" xfId="28851" xr:uid="{00000000-0005-0000-0000-0000E24D0000}"/>
    <cellStyle name="Output 10 4 3 4" xfId="10930" xr:uid="{00000000-0005-0000-0000-0000E34D0000}"/>
    <cellStyle name="Output 10 4 3 4 2" xfId="25762" xr:uid="{00000000-0005-0000-0000-0000E44D0000}"/>
    <cellStyle name="Output 10 4 4" xfId="4619" xr:uid="{00000000-0005-0000-0000-0000E54D0000}"/>
    <cellStyle name="Output 10 4 4 2" xfId="8658" xr:uid="{00000000-0005-0000-0000-0000E64D0000}"/>
    <cellStyle name="Output 10 4 4 2 2" xfId="17771" xr:uid="{00000000-0005-0000-0000-0000E74D0000}"/>
    <cellStyle name="Output 10 4 4 2 2 2" xfId="32603" xr:uid="{00000000-0005-0000-0000-0000E84D0000}"/>
    <cellStyle name="Output 10 4 4 2 3" xfId="19417" xr:uid="{00000000-0005-0000-0000-0000E94D0000}"/>
    <cellStyle name="Output 10 4 4 3" xfId="14945" xr:uid="{00000000-0005-0000-0000-0000EA4D0000}"/>
    <cellStyle name="Output 10 4 4 3 2" xfId="29777" xr:uid="{00000000-0005-0000-0000-0000EB4D0000}"/>
    <cellStyle name="Output 10 4 4 4" xfId="11376" xr:uid="{00000000-0005-0000-0000-0000EC4D0000}"/>
    <cellStyle name="Output 10 4 4 4 2" xfId="26208" xr:uid="{00000000-0005-0000-0000-0000ED4D0000}"/>
    <cellStyle name="Output 10 4 5" xfId="2609" xr:uid="{00000000-0005-0000-0000-0000EE4D0000}"/>
    <cellStyle name="Output 10 4 5 2" xfId="6710" xr:uid="{00000000-0005-0000-0000-0000EF4D0000}"/>
    <cellStyle name="Output 10 4 5 2 2" xfId="16667" xr:uid="{00000000-0005-0000-0000-0000F04D0000}"/>
    <cellStyle name="Output 10 4 5 2 2 2" xfId="31499" xr:uid="{00000000-0005-0000-0000-0000F14D0000}"/>
    <cellStyle name="Output 10 4 5 2 3" xfId="18706" xr:uid="{00000000-0005-0000-0000-0000F24D0000}"/>
    <cellStyle name="Output 10 4 5 3" xfId="12947" xr:uid="{00000000-0005-0000-0000-0000F34D0000}"/>
    <cellStyle name="Output 10 4 5 3 2" xfId="27779" xr:uid="{00000000-0005-0000-0000-0000F44D0000}"/>
    <cellStyle name="Output 10 4 5 4" xfId="10318" xr:uid="{00000000-0005-0000-0000-0000F54D0000}"/>
    <cellStyle name="Output 10 4 5 4 2" xfId="25150" xr:uid="{00000000-0005-0000-0000-0000F64D0000}"/>
    <cellStyle name="Output 10 4 6" xfId="5726" xr:uid="{00000000-0005-0000-0000-0000F74D0000}"/>
    <cellStyle name="Output 10 4 6 2" xfId="15961" xr:uid="{00000000-0005-0000-0000-0000F84D0000}"/>
    <cellStyle name="Output 10 4 6 2 2" xfId="30793" xr:uid="{00000000-0005-0000-0000-0000F94D0000}"/>
    <cellStyle name="Output 10 4 6 3" xfId="18347" xr:uid="{00000000-0005-0000-0000-0000FA4D0000}"/>
    <cellStyle name="Output 10 4 7" xfId="11981" xr:uid="{00000000-0005-0000-0000-0000FB4D0000}"/>
    <cellStyle name="Output 10 4 7 2" xfId="26813" xr:uid="{00000000-0005-0000-0000-0000FC4D0000}"/>
    <cellStyle name="Output 10 4 8" xfId="9640" xr:uid="{00000000-0005-0000-0000-0000FD4D0000}"/>
    <cellStyle name="Output 10 4 8 2" xfId="19941" xr:uid="{00000000-0005-0000-0000-0000FE4D0000}"/>
    <cellStyle name="Output 10 5" xfId="1624" xr:uid="{00000000-0005-0000-0000-0000FF4D0000}"/>
    <cellStyle name="Output 10 5 2" xfId="2121" xr:uid="{00000000-0005-0000-0000-0000004E0000}"/>
    <cellStyle name="Output 10 5 2 2" xfId="4084" xr:uid="{00000000-0005-0000-0000-0000014E0000}"/>
    <cellStyle name="Output 10 5 2 2 2" xfId="8130" xr:uid="{00000000-0005-0000-0000-0000024E0000}"/>
    <cellStyle name="Output 10 5 2 2 2 2" xfId="17510" xr:uid="{00000000-0005-0000-0000-0000034E0000}"/>
    <cellStyle name="Output 10 5 2 2 2 2 2" xfId="32342" xr:uid="{00000000-0005-0000-0000-0000044E0000}"/>
    <cellStyle name="Output 10 5 2 2 2 3" xfId="19261" xr:uid="{00000000-0005-0000-0000-0000054E0000}"/>
    <cellStyle name="Output 10 5 2 2 3" xfId="14416" xr:uid="{00000000-0005-0000-0000-0000064E0000}"/>
    <cellStyle name="Output 10 5 2 2 3 2" xfId="29248" xr:uid="{00000000-0005-0000-0000-0000074E0000}"/>
    <cellStyle name="Output 10 5 2 2 4" xfId="11127" xr:uid="{00000000-0005-0000-0000-0000084E0000}"/>
    <cellStyle name="Output 10 5 2 2 4 2" xfId="25959" xr:uid="{00000000-0005-0000-0000-0000094E0000}"/>
    <cellStyle name="Output 10 5 2 3" xfId="5089" xr:uid="{00000000-0005-0000-0000-00000A4E0000}"/>
    <cellStyle name="Output 10 5 2 3 2" xfId="9128" xr:uid="{00000000-0005-0000-0000-00000B4E0000}"/>
    <cellStyle name="Output 10 5 2 3 2 2" xfId="18056" xr:uid="{00000000-0005-0000-0000-00000C4E0000}"/>
    <cellStyle name="Output 10 5 2 3 2 2 2" xfId="32888" xr:uid="{00000000-0005-0000-0000-00000D4E0000}"/>
    <cellStyle name="Output 10 5 2 3 2 3" xfId="19609" xr:uid="{00000000-0005-0000-0000-00000E4E0000}"/>
    <cellStyle name="Output 10 5 2 3 3" xfId="15409" xr:uid="{00000000-0005-0000-0000-00000F4E0000}"/>
    <cellStyle name="Output 10 5 2 3 3 2" xfId="30241" xr:uid="{00000000-0005-0000-0000-0000104E0000}"/>
    <cellStyle name="Output 10 5 2 3 4" xfId="11655" xr:uid="{00000000-0005-0000-0000-0000114E0000}"/>
    <cellStyle name="Output 10 5 2 3 4 2" xfId="26487" xr:uid="{00000000-0005-0000-0000-0000124E0000}"/>
    <cellStyle name="Output 10 5 2 4" xfId="3079" xr:uid="{00000000-0005-0000-0000-0000134E0000}"/>
    <cellStyle name="Output 10 5 2 4 2" xfId="7149" xr:uid="{00000000-0005-0000-0000-0000144E0000}"/>
    <cellStyle name="Output 10 5 2 4 2 2" xfId="16946" xr:uid="{00000000-0005-0000-0000-0000154E0000}"/>
    <cellStyle name="Output 10 5 2 4 2 2 2" xfId="31778" xr:uid="{00000000-0005-0000-0000-0000164E0000}"/>
    <cellStyle name="Output 10 5 2 4 2 3" xfId="18903" xr:uid="{00000000-0005-0000-0000-0000174E0000}"/>
    <cellStyle name="Output 10 5 2 4 3" xfId="13417" xr:uid="{00000000-0005-0000-0000-0000184E0000}"/>
    <cellStyle name="Output 10 5 2 4 3 2" xfId="28249" xr:uid="{00000000-0005-0000-0000-0000194E0000}"/>
    <cellStyle name="Output 10 5 2 4 4" xfId="10603" xr:uid="{00000000-0005-0000-0000-00001A4E0000}"/>
    <cellStyle name="Output 10 5 2 4 4 2" xfId="25435" xr:uid="{00000000-0005-0000-0000-00001B4E0000}"/>
    <cellStyle name="Output 10 5 2 5" xfId="6241" xr:uid="{00000000-0005-0000-0000-00001C4E0000}"/>
    <cellStyle name="Output 10 5 2 5 2" xfId="16426" xr:uid="{00000000-0005-0000-0000-00001D4E0000}"/>
    <cellStyle name="Output 10 5 2 5 2 2" xfId="31258" xr:uid="{00000000-0005-0000-0000-00001E4E0000}"/>
    <cellStyle name="Output 10 5 2 5 3" xfId="18544" xr:uid="{00000000-0005-0000-0000-00001F4E0000}"/>
    <cellStyle name="Output 10 5 2 6" xfId="12496" xr:uid="{00000000-0005-0000-0000-0000204E0000}"/>
    <cellStyle name="Output 10 5 2 6 2" xfId="27328" xr:uid="{00000000-0005-0000-0000-0000214E0000}"/>
    <cellStyle name="Output 10 5 2 7" xfId="10078" xr:uid="{00000000-0005-0000-0000-0000224E0000}"/>
    <cellStyle name="Output 10 5 2 7 2" xfId="24910" xr:uid="{00000000-0005-0000-0000-0000234E0000}"/>
    <cellStyle name="Output 10 5 3" xfId="4317" xr:uid="{00000000-0005-0000-0000-0000244E0000}"/>
    <cellStyle name="Output 10 5 3 2" xfId="8356" xr:uid="{00000000-0005-0000-0000-0000254E0000}"/>
    <cellStyle name="Output 10 5 3 2 2" xfId="17634" xr:uid="{00000000-0005-0000-0000-0000264E0000}"/>
    <cellStyle name="Output 10 5 3 2 2 2" xfId="32466" xr:uid="{00000000-0005-0000-0000-0000274E0000}"/>
    <cellStyle name="Output 10 5 3 2 3" xfId="19336" xr:uid="{00000000-0005-0000-0000-0000284E0000}"/>
    <cellStyle name="Output 10 5 3 3" xfId="14648" xr:uid="{00000000-0005-0000-0000-0000294E0000}"/>
    <cellStyle name="Output 10 5 3 3 2" xfId="29480" xr:uid="{00000000-0005-0000-0000-00002A4E0000}"/>
    <cellStyle name="Output 10 5 3 4" xfId="11244" xr:uid="{00000000-0005-0000-0000-00002B4E0000}"/>
    <cellStyle name="Output 10 5 3 4 2" xfId="26076" xr:uid="{00000000-0005-0000-0000-00002C4E0000}"/>
    <cellStyle name="Output 10 5 4" xfId="4669" xr:uid="{00000000-0005-0000-0000-00002D4E0000}"/>
    <cellStyle name="Output 10 5 4 2" xfId="8708" xr:uid="{00000000-0005-0000-0000-00002E4E0000}"/>
    <cellStyle name="Output 10 5 4 2 2" xfId="17816" xr:uid="{00000000-0005-0000-0000-00002F4E0000}"/>
    <cellStyle name="Output 10 5 4 2 2 2" xfId="32648" xr:uid="{00000000-0005-0000-0000-0000304E0000}"/>
    <cellStyle name="Output 10 5 4 2 3" xfId="19449" xr:uid="{00000000-0005-0000-0000-0000314E0000}"/>
    <cellStyle name="Output 10 5 4 3" xfId="14994" xr:uid="{00000000-0005-0000-0000-0000324E0000}"/>
    <cellStyle name="Output 10 5 4 3 2" xfId="29826" xr:uid="{00000000-0005-0000-0000-0000334E0000}"/>
    <cellStyle name="Output 10 5 4 4" xfId="11420" xr:uid="{00000000-0005-0000-0000-0000344E0000}"/>
    <cellStyle name="Output 10 5 4 4 2" xfId="26252" xr:uid="{00000000-0005-0000-0000-0000354E0000}"/>
    <cellStyle name="Output 10 5 5" xfId="2659" xr:uid="{00000000-0005-0000-0000-0000364E0000}"/>
    <cellStyle name="Output 10 5 5 2" xfId="6755" xr:uid="{00000000-0005-0000-0000-0000374E0000}"/>
    <cellStyle name="Output 10 5 5 2 2" xfId="16711" xr:uid="{00000000-0005-0000-0000-0000384E0000}"/>
    <cellStyle name="Output 10 5 5 2 2 2" xfId="31543" xr:uid="{00000000-0005-0000-0000-0000394E0000}"/>
    <cellStyle name="Output 10 5 5 2 3" xfId="18739" xr:uid="{00000000-0005-0000-0000-00003A4E0000}"/>
    <cellStyle name="Output 10 5 5 3" xfId="12997" xr:uid="{00000000-0005-0000-0000-00003B4E0000}"/>
    <cellStyle name="Output 10 5 5 3 2" xfId="27829" xr:uid="{00000000-0005-0000-0000-00003C4E0000}"/>
    <cellStyle name="Output 10 5 5 4" xfId="10363" xr:uid="{00000000-0005-0000-0000-00003D4E0000}"/>
    <cellStyle name="Output 10 5 5 4 2" xfId="25195" xr:uid="{00000000-0005-0000-0000-00003E4E0000}"/>
    <cellStyle name="Output 10 5 6" xfId="5771" xr:uid="{00000000-0005-0000-0000-00003F4E0000}"/>
    <cellStyle name="Output 10 5 6 2" xfId="16005" xr:uid="{00000000-0005-0000-0000-0000404E0000}"/>
    <cellStyle name="Output 10 5 6 2 2" xfId="30837" xr:uid="{00000000-0005-0000-0000-0000414E0000}"/>
    <cellStyle name="Output 10 5 6 3" xfId="18380" xr:uid="{00000000-0005-0000-0000-0000424E0000}"/>
    <cellStyle name="Output 10 5 7" xfId="12025" xr:uid="{00000000-0005-0000-0000-0000434E0000}"/>
    <cellStyle name="Output 10 5 7 2" xfId="26857" xr:uid="{00000000-0005-0000-0000-0000444E0000}"/>
    <cellStyle name="Output 10 5 8" xfId="9685" xr:uid="{00000000-0005-0000-0000-0000454E0000}"/>
    <cellStyle name="Output 10 5 8 2" xfId="19985" xr:uid="{00000000-0005-0000-0000-0000464E0000}"/>
    <cellStyle name="Output 10 6" xfId="1775" xr:uid="{00000000-0005-0000-0000-0000474E0000}"/>
    <cellStyle name="Output 10 6 2" xfId="3956" xr:uid="{00000000-0005-0000-0000-0000484E0000}"/>
    <cellStyle name="Output 10 6 2 2" xfId="8006" xr:uid="{00000000-0005-0000-0000-0000494E0000}"/>
    <cellStyle name="Output 10 6 2 2 2" xfId="17448" xr:uid="{00000000-0005-0000-0000-00004A4E0000}"/>
    <cellStyle name="Output 10 6 2 2 2 2" xfId="32280" xr:uid="{00000000-0005-0000-0000-00004B4E0000}"/>
    <cellStyle name="Output 10 6 2 2 3" xfId="19214" xr:uid="{00000000-0005-0000-0000-00004C4E0000}"/>
    <cellStyle name="Output 10 6 2 3" xfId="14289" xr:uid="{00000000-0005-0000-0000-00004D4E0000}"/>
    <cellStyle name="Output 10 6 2 3 2" xfId="29121" xr:uid="{00000000-0005-0000-0000-00004E4E0000}"/>
    <cellStyle name="Output 10 6 2 4" xfId="11063" xr:uid="{00000000-0005-0000-0000-00004F4E0000}"/>
    <cellStyle name="Output 10 6 2 4 2" xfId="25895" xr:uid="{00000000-0005-0000-0000-0000504E0000}"/>
    <cellStyle name="Output 10 6 3" xfId="4753" xr:uid="{00000000-0005-0000-0000-0000514E0000}"/>
    <cellStyle name="Output 10 6 3 2" xfId="8792" xr:uid="{00000000-0005-0000-0000-0000524E0000}"/>
    <cellStyle name="Output 10 6 3 2 2" xfId="17864" xr:uid="{00000000-0005-0000-0000-0000534E0000}"/>
    <cellStyle name="Output 10 6 3 2 2 2" xfId="32696" xr:uid="{00000000-0005-0000-0000-0000544E0000}"/>
    <cellStyle name="Output 10 6 3 2 3" xfId="19481" xr:uid="{00000000-0005-0000-0000-0000554E0000}"/>
    <cellStyle name="Output 10 6 3 3" xfId="15077" xr:uid="{00000000-0005-0000-0000-0000564E0000}"/>
    <cellStyle name="Output 10 6 3 3 2" xfId="29909" xr:uid="{00000000-0005-0000-0000-0000574E0000}"/>
    <cellStyle name="Output 10 6 3 4" xfId="11467" xr:uid="{00000000-0005-0000-0000-0000584E0000}"/>
    <cellStyle name="Output 10 6 3 4 2" xfId="26299" xr:uid="{00000000-0005-0000-0000-0000594E0000}"/>
    <cellStyle name="Output 10 6 4" xfId="2743" xr:uid="{00000000-0005-0000-0000-00005A4E0000}"/>
    <cellStyle name="Output 10 6 4 2" xfId="6834" xr:uid="{00000000-0005-0000-0000-00005B4E0000}"/>
    <cellStyle name="Output 10 6 4 2 2" xfId="16758" xr:uid="{00000000-0005-0000-0000-00005C4E0000}"/>
    <cellStyle name="Output 10 6 4 2 2 2" xfId="31590" xr:uid="{00000000-0005-0000-0000-00005D4E0000}"/>
    <cellStyle name="Output 10 6 4 2 3" xfId="18772" xr:uid="{00000000-0005-0000-0000-00005E4E0000}"/>
    <cellStyle name="Output 10 6 4 3" xfId="13081" xr:uid="{00000000-0005-0000-0000-00005F4E0000}"/>
    <cellStyle name="Output 10 6 4 3 2" xfId="27913" xr:uid="{00000000-0005-0000-0000-0000604E0000}"/>
    <cellStyle name="Output 10 6 4 4" xfId="10411" xr:uid="{00000000-0005-0000-0000-0000614E0000}"/>
    <cellStyle name="Output 10 6 4 4 2" xfId="25243" xr:uid="{00000000-0005-0000-0000-0000624E0000}"/>
    <cellStyle name="Output 10 6 5" xfId="5907" xr:uid="{00000000-0005-0000-0000-0000634E0000}"/>
    <cellStyle name="Output 10 6 5 2" xfId="16099" xr:uid="{00000000-0005-0000-0000-0000644E0000}"/>
    <cellStyle name="Output 10 6 5 2 2" xfId="30931" xr:uid="{00000000-0005-0000-0000-0000654E0000}"/>
    <cellStyle name="Output 10 6 5 3" xfId="18414" xr:uid="{00000000-0005-0000-0000-0000664E0000}"/>
    <cellStyle name="Output 10 6 6" xfId="12169" xr:uid="{00000000-0005-0000-0000-0000674E0000}"/>
    <cellStyle name="Output 10 6 6 2" xfId="27001" xr:uid="{00000000-0005-0000-0000-0000684E0000}"/>
    <cellStyle name="Output 10 6 7" xfId="9765" xr:uid="{00000000-0005-0000-0000-0000694E0000}"/>
    <cellStyle name="Output 10 6 7 2" xfId="24722" xr:uid="{00000000-0005-0000-0000-00006A4E0000}"/>
    <cellStyle name="Output 10 7" xfId="2191" xr:uid="{00000000-0005-0000-0000-00006B4E0000}"/>
    <cellStyle name="Output 10 7 2" xfId="3671" xr:uid="{00000000-0005-0000-0000-00006C4E0000}"/>
    <cellStyle name="Output 10 7 2 2" xfId="7729" xr:uid="{00000000-0005-0000-0000-00006D4E0000}"/>
    <cellStyle name="Output 10 7 2 2 2" xfId="17307" xr:uid="{00000000-0005-0000-0000-00006E4E0000}"/>
    <cellStyle name="Output 10 7 2 2 2 2" xfId="32139" xr:uid="{00000000-0005-0000-0000-00006F4E0000}"/>
    <cellStyle name="Output 10 7 2 2 3" xfId="19115" xr:uid="{00000000-0005-0000-0000-0000704E0000}"/>
    <cellStyle name="Output 10 7 2 3" xfId="14006" xr:uid="{00000000-0005-0000-0000-0000714E0000}"/>
    <cellStyle name="Output 10 7 2 3 2" xfId="28838" xr:uid="{00000000-0005-0000-0000-0000724E0000}"/>
    <cellStyle name="Output 10 7 2 4" xfId="10924" xr:uid="{00000000-0005-0000-0000-0000734E0000}"/>
    <cellStyle name="Output 10 7 2 4 2" xfId="25756" xr:uid="{00000000-0005-0000-0000-0000744E0000}"/>
    <cellStyle name="Output 10 7 3" xfId="5159" xr:uid="{00000000-0005-0000-0000-0000754E0000}"/>
    <cellStyle name="Output 10 7 3 2" xfId="9198" xr:uid="{00000000-0005-0000-0000-0000764E0000}"/>
    <cellStyle name="Output 10 7 3 2 2" xfId="18121" xr:uid="{00000000-0005-0000-0000-0000774E0000}"/>
    <cellStyle name="Output 10 7 3 2 2 2" xfId="32953" xr:uid="{00000000-0005-0000-0000-0000784E0000}"/>
    <cellStyle name="Output 10 7 3 2 3" xfId="19672" xr:uid="{00000000-0005-0000-0000-0000794E0000}"/>
    <cellStyle name="Output 10 7 3 3" xfId="15477" xr:uid="{00000000-0005-0000-0000-00007A4E0000}"/>
    <cellStyle name="Output 10 7 3 3 2" xfId="30309" xr:uid="{00000000-0005-0000-0000-00007B4E0000}"/>
    <cellStyle name="Output 10 7 3 4" xfId="11718" xr:uid="{00000000-0005-0000-0000-00007C4E0000}"/>
    <cellStyle name="Output 10 7 3 4 2" xfId="26550" xr:uid="{00000000-0005-0000-0000-00007D4E0000}"/>
    <cellStyle name="Output 10 7 4" xfId="4189" xr:uid="{00000000-0005-0000-0000-00007E4E0000}"/>
    <cellStyle name="Output 10 7 4 2" xfId="8230" xr:uid="{00000000-0005-0000-0000-00007F4E0000}"/>
    <cellStyle name="Output 10 7 4 2 2" xfId="17577" xr:uid="{00000000-0005-0000-0000-0000804E0000}"/>
    <cellStyle name="Output 10 7 4 2 2 2" xfId="32409" xr:uid="{00000000-0005-0000-0000-0000814E0000}"/>
    <cellStyle name="Output 10 7 4 2 3" xfId="19315" xr:uid="{00000000-0005-0000-0000-0000824E0000}"/>
    <cellStyle name="Output 10 7 4 3" xfId="14521" xr:uid="{00000000-0005-0000-0000-0000834E0000}"/>
    <cellStyle name="Output 10 7 4 3 2" xfId="29353" xr:uid="{00000000-0005-0000-0000-0000844E0000}"/>
    <cellStyle name="Output 10 7 4 4" xfId="11197" xr:uid="{00000000-0005-0000-0000-0000854E0000}"/>
    <cellStyle name="Output 10 7 4 4 2" xfId="26029" xr:uid="{00000000-0005-0000-0000-0000864E0000}"/>
    <cellStyle name="Output 10 7 5" xfId="6305" xr:uid="{00000000-0005-0000-0000-0000874E0000}"/>
    <cellStyle name="Output 10 7 5 2" xfId="16489" xr:uid="{00000000-0005-0000-0000-0000884E0000}"/>
    <cellStyle name="Output 10 7 5 2 2" xfId="31321" xr:uid="{00000000-0005-0000-0000-0000894E0000}"/>
    <cellStyle name="Output 10 7 5 3" xfId="18608" xr:uid="{00000000-0005-0000-0000-00008A4E0000}"/>
    <cellStyle name="Output 10 7 6" xfId="12559" xr:uid="{00000000-0005-0000-0000-00008B4E0000}"/>
    <cellStyle name="Output 10 7 6 2" xfId="27391" xr:uid="{00000000-0005-0000-0000-00008C4E0000}"/>
    <cellStyle name="Output 10 7 7" xfId="10141" xr:uid="{00000000-0005-0000-0000-00008D4E0000}"/>
    <cellStyle name="Output 10 7 7 2" xfId="24973" xr:uid="{00000000-0005-0000-0000-00008E4E0000}"/>
    <cellStyle name="Output 10 8" xfId="3264" xr:uid="{00000000-0005-0000-0000-00008F4E0000}"/>
    <cellStyle name="Output 10 8 2" xfId="7328" xr:uid="{00000000-0005-0000-0000-0000904E0000}"/>
    <cellStyle name="Output 10 8 2 2" xfId="17073" xr:uid="{00000000-0005-0000-0000-0000914E0000}"/>
    <cellStyle name="Output 10 8 2 2 2" xfId="31905" xr:uid="{00000000-0005-0000-0000-0000924E0000}"/>
    <cellStyle name="Output 10 8 2 3" xfId="18976" xr:uid="{00000000-0005-0000-0000-0000934E0000}"/>
    <cellStyle name="Output 10 8 3" xfId="13601" xr:uid="{00000000-0005-0000-0000-0000944E0000}"/>
    <cellStyle name="Output 10 8 3 2" xfId="28433" xr:uid="{00000000-0005-0000-0000-0000954E0000}"/>
    <cellStyle name="Output 10 8 4" xfId="10703" xr:uid="{00000000-0005-0000-0000-0000964E0000}"/>
    <cellStyle name="Output 10 8 4 2" xfId="25535" xr:uid="{00000000-0005-0000-0000-0000974E0000}"/>
    <cellStyle name="Output 10 9" xfId="3212" xr:uid="{00000000-0005-0000-0000-0000984E0000}"/>
    <cellStyle name="Output 10 9 2" xfId="7276" xr:uid="{00000000-0005-0000-0000-0000994E0000}"/>
    <cellStyle name="Output 10 9 2 2" xfId="17042" xr:uid="{00000000-0005-0000-0000-00009A4E0000}"/>
    <cellStyle name="Output 10 9 2 2 2" xfId="31874" xr:uid="{00000000-0005-0000-0000-00009B4E0000}"/>
    <cellStyle name="Output 10 9 2 3" xfId="18965" xr:uid="{00000000-0005-0000-0000-00009C4E0000}"/>
    <cellStyle name="Output 10 9 3" xfId="13550" xr:uid="{00000000-0005-0000-0000-00009D4E0000}"/>
    <cellStyle name="Output 10 9 3 2" xfId="28382" xr:uid="{00000000-0005-0000-0000-00009E4E0000}"/>
    <cellStyle name="Output 10 9 4" xfId="10685" xr:uid="{00000000-0005-0000-0000-00009F4E0000}"/>
    <cellStyle name="Output 10 9 4 2" xfId="25517" xr:uid="{00000000-0005-0000-0000-0000A04E0000}"/>
    <cellStyle name="Output 2" xfId="1231" xr:uid="{00000000-0005-0000-0000-0000A14E0000}"/>
    <cellStyle name="Output 2 10" xfId="1520" xr:uid="{00000000-0005-0000-0000-0000A24E0000}"/>
    <cellStyle name="Output 2 10 2" xfId="2017" xr:uid="{00000000-0005-0000-0000-0000A34E0000}"/>
    <cellStyle name="Output 2 10 2 2" xfId="3958" xr:uid="{00000000-0005-0000-0000-0000A44E0000}"/>
    <cellStyle name="Output 2 10 2 2 2" xfId="8008" xr:uid="{00000000-0005-0000-0000-0000A54E0000}"/>
    <cellStyle name="Output 2 10 2 2 2 2" xfId="17449" xr:uid="{00000000-0005-0000-0000-0000A64E0000}"/>
    <cellStyle name="Output 2 10 2 2 2 2 2" xfId="32281" xr:uid="{00000000-0005-0000-0000-0000A74E0000}"/>
    <cellStyle name="Output 2 10 2 2 2 3" xfId="19215" xr:uid="{00000000-0005-0000-0000-0000A84E0000}"/>
    <cellStyle name="Output 2 10 2 2 3" xfId="14291" xr:uid="{00000000-0005-0000-0000-0000A94E0000}"/>
    <cellStyle name="Output 2 10 2 2 3 2" xfId="29123" xr:uid="{00000000-0005-0000-0000-0000AA4E0000}"/>
    <cellStyle name="Output 2 10 2 2 4" xfId="11064" xr:uid="{00000000-0005-0000-0000-0000AB4E0000}"/>
    <cellStyle name="Output 2 10 2 2 4 2" xfId="25896" xr:uid="{00000000-0005-0000-0000-0000AC4E0000}"/>
    <cellStyle name="Output 2 10 2 3" xfId="4985" xr:uid="{00000000-0005-0000-0000-0000AD4E0000}"/>
    <cellStyle name="Output 2 10 2 3 2" xfId="9024" xr:uid="{00000000-0005-0000-0000-0000AE4E0000}"/>
    <cellStyle name="Output 2 10 2 3 2 2" xfId="17962" xr:uid="{00000000-0005-0000-0000-0000AF4E0000}"/>
    <cellStyle name="Output 2 10 2 3 2 2 2" xfId="32794" xr:uid="{00000000-0005-0000-0000-0000B04E0000}"/>
    <cellStyle name="Output 2 10 2 3 2 3" xfId="19546" xr:uid="{00000000-0005-0000-0000-0000B14E0000}"/>
    <cellStyle name="Output 2 10 2 3 3" xfId="15307" xr:uid="{00000000-0005-0000-0000-0000B24E0000}"/>
    <cellStyle name="Output 2 10 2 3 3 2" xfId="30139" xr:uid="{00000000-0005-0000-0000-0000B34E0000}"/>
    <cellStyle name="Output 2 10 2 3 4" xfId="11563" xr:uid="{00000000-0005-0000-0000-0000B44E0000}"/>
    <cellStyle name="Output 2 10 2 3 4 2" xfId="26395" xr:uid="{00000000-0005-0000-0000-0000B54E0000}"/>
    <cellStyle name="Output 2 10 2 4" xfId="2975" xr:uid="{00000000-0005-0000-0000-0000B64E0000}"/>
    <cellStyle name="Output 2 10 2 4 2" xfId="7055" xr:uid="{00000000-0005-0000-0000-0000B74E0000}"/>
    <cellStyle name="Output 2 10 2 4 2 2" xfId="16854" xr:uid="{00000000-0005-0000-0000-0000B84E0000}"/>
    <cellStyle name="Output 2 10 2 4 2 2 2" xfId="31686" xr:uid="{00000000-0005-0000-0000-0000B94E0000}"/>
    <cellStyle name="Output 2 10 2 4 2 3" xfId="18838" xr:uid="{00000000-0005-0000-0000-0000BA4E0000}"/>
    <cellStyle name="Output 2 10 2 4 3" xfId="13313" xr:uid="{00000000-0005-0000-0000-0000BB4E0000}"/>
    <cellStyle name="Output 2 10 2 4 3 2" xfId="28145" xr:uid="{00000000-0005-0000-0000-0000BC4E0000}"/>
    <cellStyle name="Output 2 10 2 4 4" xfId="10509" xr:uid="{00000000-0005-0000-0000-0000BD4E0000}"/>
    <cellStyle name="Output 2 10 2 4 4 2" xfId="25341" xr:uid="{00000000-0005-0000-0000-0000BE4E0000}"/>
    <cellStyle name="Output 2 10 2 5" xfId="6147" xr:uid="{00000000-0005-0000-0000-0000BF4E0000}"/>
    <cellStyle name="Output 2 10 2 5 2" xfId="16334" xr:uid="{00000000-0005-0000-0000-0000C04E0000}"/>
    <cellStyle name="Output 2 10 2 5 2 2" xfId="31166" xr:uid="{00000000-0005-0000-0000-0000C14E0000}"/>
    <cellStyle name="Output 2 10 2 5 3" xfId="18479" xr:uid="{00000000-0005-0000-0000-0000C24E0000}"/>
    <cellStyle name="Output 2 10 2 6" xfId="12404" xr:uid="{00000000-0005-0000-0000-0000C34E0000}"/>
    <cellStyle name="Output 2 10 2 6 2" xfId="27236" xr:uid="{00000000-0005-0000-0000-0000C44E0000}"/>
    <cellStyle name="Output 2 10 2 7" xfId="9986" xr:uid="{00000000-0005-0000-0000-0000C54E0000}"/>
    <cellStyle name="Output 2 10 2 7 2" xfId="24818" xr:uid="{00000000-0005-0000-0000-0000C64E0000}"/>
    <cellStyle name="Output 2 10 3" xfId="3169" xr:uid="{00000000-0005-0000-0000-0000C74E0000}"/>
    <cellStyle name="Output 2 10 3 2" xfId="7233" xr:uid="{00000000-0005-0000-0000-0000C84E0000}"/>
    <cellStyle name="Output 2 10 3 2 2" xfId="17009" xr:uid="{00000000-0005-0000-0000-0000C94E0000}"/>
    <cellStyle name="Output 2 10 3 2 2 2" xfId="31841" xr:uid="{00000000-0005-0000-0000-0000CA4E0000}"/>
    <cellStyle name="Output 2 10 3 2 3" xfId="18950" xr:uid="{00000000-0005-0000-0000-0000CB4E0000}"/>
    <cellStyle name="Output 2 10 3 3" xfId="13507" xr:uid="{00000000-0005-0000-0000-0000CC4E0000}"/>
    <cellStyle name="Output 2 10 3 3 2" xfId="28339" xr:uid="{00000000-0005-0000-0000-0000CD4E0000}"/>
    <cellStyle name="Output 2 10 3 4" xfId="10660" xr:uid="{00000000-0005-0000-0000-0000CE4E0000}"/>
    <cellStyle name="Output 2 10 3 4 2" xfId="25492" xr:uid="{00000000-0005-0000-0000-0000CF4E0000}"/>
    <cellStyle name="Output 2 10 4" xfId="4565" xr:uid="{00000000-0005-0000-0000-0000D04E0000}"/>
    <cellStyle name="Output 2 10 4 2" xfId="8604" xr:uid="{00000000-0005-0000-0000-0000D14E0000}"/>
    <cellStyle name="Output 2 10 4 2 2" xfId="17722" xr:uid="{00000000-0005-0000-0000-0000D24E0000}"/>
    <cellStyle name="Output 2 10 4 2 2 2" xfId="32554" xr:uid="{00000000-0005-0000-0000-0000D34E0000}"/>
    <cellStyle name="Output 2 10 4 2 3" xfId="19386" xr:uid="{00000000-0005-0000-0000-0000D44E0000}"/>
    <cellStyle name="Output 2 10 4 3" xfId="14892" xr:uid="{00000000-0005-0000-0000-0000D54E0000}"/>
    <cellStyle name="Output 2 10 4 3 2" xfId="29724" xr:uid="{00000000-0005-0000-0000-0000D64E0000}"/>
    <cellStyle name="Output 2 10 4 4" xfId="11328" xr:uid="{00000000-0005-0000-0000-0000D74E0000}"/>
    <cellStyle name="Output 2 10 4 4 2" xfId="26160" xr:uid="{00000000-0005-0000-0000-0000D84E0000}"/>
    <cellStyle name="Output 2 10 5" xfId="2555" xr:uid="{00000000-0005-0000-0000-0000D94E0000}"/>
    <cellStyle name="Output 2 10 5 2" xfId="6661" xr:uid="{00000000-0005-0000-0000-0000DA4E0000}"/>
    <cellStyle name="Output 2 10 5 2 2" xfId="16619" xr:uid="{00000000-0005-0000-0000-0000DB4E0000}"/>
    <cellStyle name="Output 2 10 5 2 2 2" xfId="31451" xr:uid="{00000000-0005-0000-0000-0000DC4E0000}"/>
    <cellStyle name="Output 2 10 5 2 3" xfId="18674" xr:uid="{00000000-0005-0000-0000-0000DD4E0000}"/>
    <cellStyle name="Output 2 10 5 3" xfId="12893" xr:uid="{00000000-0005-0000-0000-0000DE4E0000}"/>
    <cellStyle name="Output 2 10 5 3 2" xfId="27725" xr:uid="{00000000-0005-0000-0000-0000DF4E0000}"/>
    <cellStyle name="Output 2 10 5 4" xfId="10269" xr:uid="{00000000-0005-0000-0000-0000E04E0000}"/>
    <cellStyle name="Output 2 10 5 4 2" xfId="25101" xr:uid="{00000000-0005-0000-0000-0000E14E0000}"/>
    <cellStyle name="Output 2 10 6" xfId="5678" xr:uid="{00000000-0005-0000-0000-0000E24E0000}"/>
    <cellStyle name="Output 2 10 6 2" xfId="15913" xr:uid="{00000000-0005-0000-0000-0000E34E0000}"/>
    <cellStyle name="Output 2 10 6 2 2" xfId="30745" xr:uid="{00000000-0005-0000-0000-0000E44E0000}"/>
    <cellStyle name="Output 2 10 6 3" xfId="18316" xr:uid="{00000000-0005-0000-0000-0000E54E0000}"/>
    <cellStyle name="Output 2 10 7" xfId="11933" xr:uid="{00000000-0005-0000-0000-0000E64E0000}"/>
    <cellStyle name="Output 2 10 7 2" xfId="26765" xr:uid="{00000000-0005-0000-0000-0000E74E0000}"/>
    <cellStyle name="Output 2 10 8" xfId="9591" xr:uid="{00000000-0005-0000-0000-0000E84E0000}"/>
    <cellStyle name="Output 2 10 8 2" xfId="19893" xr:uid="{00000000-0005-0000-0000-0000E94E0000}"/>
    <cellStyle name="Output 2 11" xfId="1575" xr:uid="{00000000-0005-0000-0000-0000EA4E0000}"/>
    <cellStyle name="Output 2 11 2" xfId="2072" xr:uid="{00000000-0005-0000-0000-0000EB4E0000}"/>
    <cellStyle name="Output 2 11 2 2" xfId="4058" xr:uid="{00000000-0005-0000-0000-0000EC4E0000}"/>
    <cellStyle name="Output 2 11 2 2 2" xfId="8105" xr:uid="{00000000-0005-0000-0000-0000ED4E0000}"/>
    <cellStyle name="Output 2 11 2 2 2 2" xfId="17497" xr:uid="{00000000-0005-0000-0000-0000EE4E0000}"/>
    <cellStyle name="Output 2 11 2 2 2 2 2" xfId="32329" xr:uid="{00000000-0005-0000-0000-0000EF4E0000}"/>
    <cellStyle name="Output 2 11 2 2 2 3" xfId="19250" xr:uid="{00000000-0005-0000-0000-0000F04E0000}"/>
    <cellStyle name="Output 2 11 2 2 3" xfId="14390" xr:uid="{00000000-0005-0000-0000-0000F14E0000}"/>
    <cellStyle name="Output 2 11 2 2 3 2" xfId="29222" xr:uid="{00000000-0005-0000-0000-0000F24E0000}"/>
    <cellStyle name="Output 2 11 2 2 4" xfId="11113" xr:uid="{00000000-0005-0000-0000-0000F34E0000}"/>
    <cellStyle name="Output 2 11 2 2 4 2" xfId="25945" xr:uid="{00000000-0005-0000-0000-0000F44E0000}"/>
    <cellStyle name="Output 2 11 2 3" xfId="5040" xr:uid="{00000000-0005-0000-0000-0000F54E0000}"/>
    <cellStyle name="Output 2 11 2 3 2" xfId="9079" xr:uid="{00000000-0005-0000-0000-0000F64E0000}"/>
    <cellStyle name="Output 2 11 2 3 2 2" xfId="18012" xr:uid="{00000000-0005-0000-0000-0000F74E0000}"/>
    <cellStyle name="Output 2 11 2 3 2 2 2" xfId="32844" xr:uid="{00000000-0005-0000-0000-0000F84E0000}"/>
    <cellStyle name="Output 2 11 2 3 2 3" xfId="19578" xr:uid="{00000000-0005-0000-0000-0000F94E0000}"/>
    <cellStyle name="Output 2 11 2 3 3" xfId="15361" xr:uid="{00000000-0005-0000-0000-0000FA4E0000}"/>
    <cellStyle name="Output 2 11 2 3 3 2" xfId="30193" xr:uid="{00000000-0005-0000-0000-0000FB4E0000}"/>
    <cellStyle name="Output 2 11 2 3 4" xfId="11612" xr:uid="{00000000-0005-0000-0000-0000FC4E0000}"/>
    <cellStyle name="Output 2 11 2 3 4 2" xfId="26444" xr:uid="{00000000-0005-0000-0000-0000FD4E0000}"/>
    <cellStyle name="Output 2 11 2 4" xfId="3030" xr:uid="{00000000-0005-0000-0000-0000FE4E0000}"/>
    <cellStyle name="Output 2 11 2 4 2" xfId="7105" xr:uid="{00000000-0005-0000-0000-0000FF4E0000}"/>
    <cellStyle name="Output 2 11 2 4 2 2" xfId="16903" xr:uid="{00000000-0005-0000-0000-0000004F0000}"/>
    <cellStyle name="Output 2 11 2 4 2 2 2" xfId="31735" xr:uid="{00000000-0005-0000-0000-0000014F0000}"/>
    <cellStyle name="Output 2 11 2 4 2 3" xfId="18871" xr:uid="{00000000-0005-0000-0000-0000024F0000}"/>
    <cellStyle name="Output 2 11 2 4 3" xfId="13368" xr:uid="{00000000-0005-0000-0000-0000034F0000}"/>
    <cellStyle name="Output 2 11 2 4 3 2" xfId="28200" xr:uid="{00000000-0005-0000-0000-0000044F0000}"/>
    <cellStyle name="Output 2 11 2 4 4" xfId="10559" xr:uid="{00000000-0005-0000-0000-0000054F0000}"/>
    <cellStyle name="Output 2 11 2 4 4 2" xfId="25391" xr:uid="{00000000-0005-0000-0000-0000064F0000}"/>
    <cellStyle name="Output 2 11 2 5" xfId="6197" xr:uid="{00000000-0005-0000-0000-0000074F0000}"/>
    <cellStyle name="Output 2 11 2 5 2" xfId="16383" xr:uid="{00000000-0005-0000-0000-0000084F0000}"/>
    <cellStyle name="Output 2 11 2 5 2 2" xfId="31215" xr:uid="{00000000-0005-0000-0000-0000094F0000}"/>
    <cellStyle name="Output 2 11 2 5 3" xfId="18512" xr:uid="{00000000-0005-0000-0000-00000A4F0000}"/>
    <cellStyle name="Output 2 11 2 6" xfId="12453" xr:uid="{00000000-0005-0000-0000-00000B4F0000}"/>
    <cellStyle name="Output 2 11 2 6 2" xfId="27285" xr:uid="{00000000-0005-0000-0000-00000C4F0000}"/>
    <cellStyle name="Output 2 11 2 7" xfId="10035" xr:uid="{00000000-0005-0000-0000-00000D4F0000}"/>
    <cellStyle name="Output 2 11 2 7 2" xfId="24867" xr:uid="{00000000-0005-0000-0000-00000E4F0000}"/>
    <cellStyle name="Output 2 11 3" xfId="3984" xr:uid="{00000000-0005-0000-0000-00000F4F0000}"/>
    <cellStyle name="Output 2 11 3 2" xfId="8032" xr:uid="{00000000-0005-0000-0000-0000104F0000}"/>
    <cellStyle name="Output 2 11 3 2 2" xfId="17457" xr:uid="{00000000-0005-0000-0000-0000114F0000}"/>
    <cellStyle name="Output 2 11 3 2 2 2" xfId="32289" xr:uid="{00000000-0005-0000-0000-0000124F0000}"/>
    <cellStyle name="Output 2 11 3 2 3" xfId="19221" xr:uid="{00000000-0005-0000-0000-0000134F0000}"/>
    <cellStyle name="Output 2 11 3 3" xfId="14317" xr:uid="{00000000-0005-0000-0000-0000144F0000}"/>
    <cellStyle name="Output 2 11 3 3 2" xfId="29149" xr:uid="{00000000-0005-0000-0000-0000154F0000}"/>
    <cellStyle name="Output 2 11 3 4" xfId="11074" xr:uid="{00000000-0005-0000-0000-0000164F0000}"/>
    <cellStyle name="Output 2 11 3 4 2" xfId="25906" xr:uid="{00000000-0005-0000-0000-0000174F0000}"/>
    <cellStyle name="Output 2 11 4" xfId="4620" xr:uid="{00000000-0005-0000-0000-0000184F0000}"/>
    <cellStyle name="Output 2 11 4 2" xfId="8659" xr:uid="{00000000-0005-0000-0000-0000194F0000}"/>
    <cellStyle name="Output 2 11 4 2 2" xfId="17772" xr:uid="{00000000-0005-0000-0000-00001A4F0000}"/>
    <cellStyle name="Output 2 11 4 2 2 2" xfId="32604" xr:uid="{00000000-0005-0000-0000-00001B4F0000}"/>
    <cellStyle name="Output 2 11 4 2 3" xfId="19418" xr:uid="{00000000-0005-0000-0000-00001C4F0000}"/>
    <cellStyle name="Output 2 11 4 3" xfId="14946" xr:uid="{00000000-0005-0000-0000-00001D4F0000}"/>
    <cellStyle name="Output 2 11 4 3 2" xfId="29778" xr:uid="{00000000-0005-0000-0000-00001E4F0000}"/>
    <cellStyle name="Output 2 11 4 4" xfId="11377" xr:uid="{00000000-0005-0000-0000-00001F4F0000}"/>
    <cellStyle name="Output 2 11 4 4 2" xfId="26209" xr:uid="{00000000-0005-0000-0000-0000204F0000}"/>
    <cellStyle name="Output 2 11 5" xfId="2610" xr:uid="{00000000-0005-0000-0000-0000214F0000}"/>
    <cellStyle name="Output 2 11 5 2" xfId="6711" xr:uid="{00000000-0005-0000-0000-0000224F0000}"/>
    <cellStyle name="Output 2 11 5 2 2" xfId="16668" xr:uid="{00000000-0005-0000-0000-0000234F0000}"/>
    <cellStyle name="Output 2 11 5 2 2 2" xfId="31500" xr:uid="{00000000-0005-0000-0000-0000244F0000}"/>
    <cellStyle name="Output 2 11 5 2 3" xfId="18707" xr:uid="{00000000-0005-0000-0000-0000254F0000}"/>
    <cellStyle name="Output 2 11 5 3" xfId="12948" xr:uid="{00000000-0005-0000-0000-0000264F0000}"/>
    <cellStyle name="Output 2 11 5 3 2" xfId="27780" xr:uid="{00000000-0005-0000-0000-0000274F0000}"/>
    <cellStyle name="Output 2 11 5 4" xfId="10319" xr:uid="{00000000-0005-0000-0000-0000284F0000}"/>
    <cellStyle name="Output 2 11 5 4 2" xfId="25151" xr:uid="{00000000-0005-0000-0000-0000294F0000}"/>
    <cellStyle name="Output 2 11 6" xfId="5727" xr:uid="{00000000-0005-0000-0000-00002A4F0000}"/>
    <cellStyle name="Output 2 11 6 2" xfId="15962" xr:uid="{00000000-0005-0000-0000-00002B4F0000}"/>
    <cellStyle name="Output 2 11 6 2 2" xfId="30794" xr:uid="{00000000-0005-0000-0000-00002C4F0000}"/>
    <cellStyle name="Output 2 11 6 3" xfId="18348" xr:uid="{00000000-0005-0000-0000-00002D4F0000}"/>
    <cellStyle name="Output 2 11 7" xfId="11982" xr:uid="{00000000-0005-0000-0000-00002E4F0000}"/>
    <cellStyle name="Output 2 11 7 2" xfId="26814" xr:uid="{00000000-0005-0000-0000-00002F4F0000}"/>
    <cellStyle name="Output 2 11 8" xfId="9641" xr:uid="{00000000-0005-0000-0000-0000304F0000}"/>
    <cellStyle name="Output 2 11 8 2" xfId="19942" xr:uid="{00000000-0005-0000-0000-0000314F0000}"/>
    <cellStyle name="Output 2 12" xfId="1625" xr:uid="{00000000-0005-0000-0000-0000324F0000}"/>
    <cellStyle name="Output 2 12 2" xfId="2122" xr:uid="{00000000-0005-0000-0000-0000334F0000}"/>
    <cellStyle name="Output 2 12 2 2" xfId="3603" xr:uid="{00000000-0005-0000-0000-0000344F0000}"/>
    <cellStyle name="Output 2 12 2 2 2" xfId="7664" xr:uid="{00000000-0005-0000-0000-0000354F0000}"/>
    <cellStyle name="Output 2 12 2 2 2 2" xfId="17280" xr:uid="{00000000-0005-0000-0000-0000364F0000}"/>
    <cellStyle name="Output 2 12 2 2 2 2 2" xfId="32112" xr:uid="{00000000-0005-0000-0000-0000374F0000}"/>
    <cellStyle name="Output 2 12 2 2 2 3" xfId="19099" xr:uid="{00000000-0005-0000-0000-0000384F0000}"/>
    <cellStyle name="Output 2 12 2 2 3" xfId="13939" xr:uid="{00000000-0005-0000-0000-0000394F0000}"/>
    <cellStyle name="Output 2 12 2 2 3 2" xfId="28771" xr:uid="{00000000-0005-0000-0000-00003A4F0000}"/>
    <cellStyle name="Output 2 12 2 2 4" xfId="10897" xr:uid="{00000000-0005-0000-0000-00003B4F0000}"/>
    <cellStyle name="Output 2 12 2 2 4 2" xfId="25729" xr:uid="{00000000-0005-0000-0000-00003C4F0000}"/>
    <cellStyle name="Output 2 12 2 3" xfId="5090" xr:uid="{00000000-0005-0000-0000-00003D4F0000}"/>
    <cellStyle name="Output 2 12 2 3 2" xfId="9129" xr:uid="{00000000-0005-0000-0000-00003E4F0000}"/>
    <cellStyle name="Output 2 12 2 3 2 2" xfId="18057" xr:uid="{00000000-0005-0000-0000-00003F4F0000}"/>
    <cellStyle name="Output 2 12 2 3 2 2 2" xfId="32889" xr:uid="{00000000-0005-0000-0000-0000404F0000}"/>
    <cellStyle name="Output 2 12 2 3 2 3" xfId="19610" xr:uid="{00000000-0005-0000-0000-0000414F0000}"/>
    <cellStyle name="Output 2 12 2 3 3" xfId="15410" xr:uid="{00000000-0005-0000-0000-0000424F0000}"/>
    <cellStyle name="Output 2 12 2 3 3 2" xfId="30242" xr:uid="{00000000-0005-0000-0000-0000434F0000}"/>
    <cellStyle name="Output 2 12 2 3 4" xfId="11656" xr:uid="{00000000-0005-0000-0000-0000444F0000}"/>
    <cellStyle name="Output 2 12 2 3 4 2" xfId="26488" xr:uid="{00000000-0005-0000-0000-0000454F0000}"/>
    <cellStyle name="Output 2 12 2 4" xfId="3080" xr:uid="{00000000-0005-0000-0000-0000464F0000}"/>
    <cellStyle name="Output 2 12 2 4 2" xfId="7150" xr:uid="{00000000-0005-0000-0000-0000474F0000}"/>
    <cellStyle name="Output 2 12 2 4 2 2" xfId="16947" xr:uid="{00000000-0005-0000-0000-0000484F0000}"/>
    <cellStyle name="Output 2 12 2 4 2 2 2" xfId="31779" xr:uid="{00000000-0005-0000-0000-0000494F0000}"/>
    <cellStyle name="Output 2 12 2 4 2 3" xfId="18904" xr:uid="{00000000-0005-0000-0000-00004A4F0000}"/>
    <cellStyle name="Output 2 12 2 4 3" xfId="13418" xr:uid="{00000000-0005-0000-0000-00004B4F0000}"/>
    <cellStyle name="Output 2 12 2 4 3 2" xfId="28250" xr:uid="{00000000-0005-0000-0000-00004C4F0000}"/>
    <cellStyle name="Output 2 12 2 4 4" xfId="10604" xr:uid="{00000000-0005-0000-0000-00004D4F0000}"/>
    <cellStyle name="Output 2 12 2 4 4 2" xfId="25436" xr:uid="{00000000-0005-0000-0000-00004E4F0000}"/>
    <cellStyle name="Output 2 12 2 5" xfId="6242" xr:uid="{00000000-0005-0000-0000-00004F4F0000}"/>
    <cellStyle name="Output 2 12 2 5 2" xfId="16427" xr:uid="{00000000-0005-0000-0000-0000504F0000}"/>
    <cellStyle name="Output 2 12 2 5 2 2" xfId="31259" xr:uid="{00000000-0005-0000-0000-0000514F0000}"/>
    <cellStyle name="Output 2 12 2 5 3" xfId="18545" xr:uid="{00000000-0005-0000-0000-0000524F0000}"/>
    <cellStyle name="Output 2 12 2 6" xfId="12497" xr:uid="{00000000-0005-0000-0000-0000534F0000}"/>
    <cellStyle name="Output 2 12 2 6 2" xfId="27329" xr:uid="{00000000-0005-0000-0000-0000544F0000}"/>
    <cellStyle name="Output 2 12 2 7" xfId="10079" xr:uid="{00000000-0005-0000-0000-0000554F0000}"/>
    <cellStyle name="Output 2 12 2 7 2" xfId="24911" xr:uid="{00000000-0005-0000-0000-0000564F0000}"/>
    <cellStyle name="Output 2 12 3" xfId="4320" xr:uid="{00000000-0005-0000-0000-0000574F0000}"/>
    <cellStyle name="Output 2 12 3 2" xfId="8359" xr:uid="{00000000-0005-0000-0000-0000584F0000}"/>
    <cellStyle name="Output 2 12 3 2 2" xfId="17637" xr:uid="{00000000-0005-0000-0000-0000594F0000}"/>
    <cellStyle name="Output 2 12 3 2 2 2" xfId="32469" xr:uid="{00000000-0005-0000-0000-00005A4F0000}"/>
    <cellStyle name="Output 2 12 3 2 3" xfId="19339" xr:uid="{00000000-0005-0000-0000-00005B4F0000}"/>
    <cellStyle name="Output 2 12 3 3" xfId="14651" xr:uid="{00000000-0005-0000-0000-00005C4F0000}"/>
    <cellStyle name="Output 2 12 3 3 2" xfId="29483" xr:uid="{00000000-0005-0000-0000-00005D4F0000}"/>
    <cellStyle name="Output 2 12 3 4" xfId="11247" xr:uid="{00000000-0005-0000-0000-00005E4F0000}"/>
    <cellStyle name="Output 2 12 3 4 2" xfId="26079" xr:uid="{00000000-0005-0000-0000-00005F4F0000}"/>
    <cellStyle name="Output 2 12 4" xfId="4670" xr:uid="{00000000-0005-0000-0000-0000604F0000}"/>
    <cellStyle name="Output 2 12 4 2" xfId="8709" xr:uid="{00000000-0005-0000-0000-0000614F0000}"/>
    <cellStyle name="Output 2 12 4 2 2" xfId="17817" xr:uid="{00000000-0005-0000-0000-0000624F0000}"/>
    <cellStyle name="Output 2 12 4 2 2 2" xfId="32649" xr:uid="{00000000-0005-0000-0000-0000634F0000}"/>
    <cellStyle name="Output 2 12 4 2 3" xfId="19450" xr:uid="{00000000-0005-0000-0000-0000644F0000}"/>
    <cellStyle name="Output 2 12 4 3" xfId="14995" xr:uid="{00000000-0005-0000-0000-0000654F0000}"/>
    <cellStyle name="Output 2 12 4 3 2" xfId="29827" xr:uid="{00000000-0005-0000-0000-0000664F0000}"/>
    <cellStyle name="Output 2 12 4 4" xfId="11421" xr:uid="{00000000-0005-0000-0000-0000674F0000}"/>
    <cellStyle name="Output 2 12 4 4 2" xfId="26253" xr:uid="{00000000-0005-0000-0000-0000684F0000}"/>
    <cellStyle name="Output 2 12 5" xfId="2660" xr:uid="{00000000-0005-0000-0000-0000694F0000}"/>
    <cellStyle name="Output 2 12 5 2" xfId="6756" xr:uid="{00000000-0005-0000-0000-00006A4F0000}"/>
    <cellStyle name="Output 2 12 5 2 2" xfId="16712" xr:uid="{00000000-0005-0000-0000-00006B4F0000}"/>
    <cellStyle name="Output 2 12 5 2 2 2" xfId="31544" xr:uid="{00000000-0005-0000-0000-00006C4F0000}"/>
    <cellStyle name="Output 2 12 5 2 3" xfId="18740" xr:uid="{00000000-0005-0000-0000-00006D4F0000}"/>
    <cellStyle name="Output 2 12 5 3" xfId="12998" xr:uid="{00000000-0005-0000-0000-00006E4F0000}"/>
    <cellStyle name="Output 2 12 5 3 2" xfId="27830" xr:uid="{00000000-0005-0000-0000-00006F4F0000}"/>
    <cellStyle name="Output 2 12 5 4" xfId="10364" xr:uid="{00000000-0005-0000-0000-0000704F0000}"/>
    <cellStyle name="Output 2 12 5 4 2" xfId="25196" xr:uid="{00000000-0005-0000-0000-0000714F0000}"/>
    <cellStyle name="Output 2 12 6" xfId="5772" xr:uid="{00000000-0005-0000-0000-0000724F0000}"/>
    <cellStyle name="Output 2 12 6 2" xfId="16006" xr:uid="{00000000-0005-0000-0000-0000734F0000}"/>
    <cellStyle name="Output 2 12 6 2 2" xfId="30838" xr:uid="{00000000-0005-0000-0000-0000744F0000}"/>
    <cellStyle name="Output 2 12 6 3" xfId="18381" xr:uid="{00000000-0005-0000-0000-0000754F0000}"/>
    <cellStyle name="Output 2 12 7" xfId="12026" xr:uid="{00000000-0005-0000-0000-0000764F0000}"/>
    <cellStyle name="Output 2 12 7 2" xfId="26858" xr:uid="{00000000-0005-0000-0000-0000774F0000}"/>
    <cellStyle name="Output 2 12 8" xfId="9686" xr:uid="{00000000-0005-0000-0000-0000784F0000}"/>
    <cellStyle name="Output 2 12 8 2" xfId="19986" xr:uid="{00000000-0005-0000-0000-0000794F0000}"/>
    <cellStyle name="Output 2 13" xfId="1776" xr:uid="{00000000-0005-0000-0000-00007A4F0000}"/>
    <cellStyle name="Output 2 13 2" xfId="3556" xr:uid="{00000000-0005-0000-0000-00007B4F0000}"/>
    <cellStyle name="Output 2 13 2 2" xfId="7618" xr:uid="{00000000-0005-0000-0000-00007C4F0000}"/>
    <cellStyle name="Output 2 13 2 2 2" xfId="17255" xr:uid="{00000000-0005-0000-0000-00007D4F0000}"/>
    <cellStyle name="Output 2 13 2 2 2 2" xfId="32087" xr:uid="{00000000-0005-0000-0000-00007E4F0000}"/>
    <cellStyle name="Output 2 13 2 2 3" xfId="19078" xr:uid="{00000000-0005-0000-0000-00007F4F0000}"/>
    <cellStyle name="Output 2 13 2 3" xfId="13892" xr:uid="{00000000-0005-0000-0000-0000804F0000}"/>
    <cellStyle name="Output 2 13 2 3 2" xfId="28724" xr:uid="{00000000-0005-0000-0000-0000814F0000}"/>
    <cellStyle name="Output 2 13 2 4" xfId="10872" xr:uid="{00000000-0005-0000-0000-0000824F0000}"/>
    <cellStyle name="Output 2 13 2 4 2" xfId="25704" xr:uid="{00000000-0005-0000-0000-0000834F0000}"/>
    <cellStyle name="Output 2 13 3" xfId="4754" xr:uid="{00000000-0005-0000-0000-0000844F0000}"/>
    <cellStyle name="Output 2 13 3 2" xfId="8793" xr:uid="{00000000-0005-0000-0000-0000854F0000}"/>
    <cellStyle name="Output 2 13 3 2 2" xfId="17865" xr:uid="{00000000-0005-0000-0000-0000864F0000}"/>
    <cellStyle name="Output 2 13 3 2 2 2" xfId="32697" xr:uid="{00000000-0005-0000-0000-0000874F0000}"/>
    <cellStyle name="Output 2 13 3 2 3" xfId="19482" xr:uid="{00000000-0005-0000-0000-0000884F0000}"/>
    <cellStyle name="Output 2 13 3 3" xfId="15078" xr:uid="{00000000-0005-0000-0000-0000894F0000}"/>
    <cellStyle name="Output 2 13 3 3 2" xfId="29910" xr:uid="{00000000-0005-0000-0000-00008A4F0000}"/>
    <cellStyle name="Output 2 13 3 4" xfId="11468" xr:uid="{00000000-0005-0000-0000-00008B4F0000}"/>
    <cellStyle name="Output 2 13 3 4 2" xfId="26300" xr:uid="{00000000-0005-0000-0000-00008C4F0000}"/>
    <cellStyle name="Output 2 13 4" xfId="2744" xr:uid="{00000000-0005-0000-0000-00008D4F0000}"/>
    <cellStyle name="Output 2 13 4 2" xfId="6835" xr:uid="{00000000-0005-0000-0000-00008E4F0000}"/>
    <cellStyle name="Output 2 13 4 2 2" xfId="16759" xr:uid="{00000000-0005-0000-0000-00008F4F0000}"/>
    <cellStyle name="Output 2 13 4 2 2 2" xfId="31591" xr:uid="{00000000-0005-0000-0000-0000904F0000}"/>
    <cellStyle name="Output 2 13 4 2 3" xfId="18773" xr:uid="{00000000-0005-0000-0000-0000914F0000}"/>
    <cellStyle name="Output 2 13 4 3" xfId="13082" xr:uid="{00000000-0005-0000-0000-0000924F0000}"/>
    <cellStyle name="Output 2 13 4 3 2" xfId="27914" xr:uid="{00000000-0005-0000-0000-0000934F0000}"/>
    <cellStyle name="Output 2 13 4 4" xfId="10412" xr:uid="{00000000-0005-0000-0000-0000944F0000}"/>
    <cellStyle name="Output 2 13 4 4 2" xfId="25244" xr:uid="{00000000-0005-0000-0000-0000954F0000}"/>
    <cellStyle name="Output 2 13 5" xfId="5908" xr:uid="{00000000-0005-0000-0000-0000964F0000}"/>
    <cellStyle name="Output 2 13 5 2" xfId="16100" xr:uid="{00000000-0005-0000-0000-0000974F0000}"/>
    <cellStyle name="Output 2 13 5 2 2" xfId="30932" xr:uid="{00000000-0005-0000-0000-0000984F0000}"/>
    <cellStyle name="Output 2 13 5 3" xfId="18415" xr:uid="{00000000-0005-0000-0000-0000994F0000}"/>
    <cellStyle name="Output 2 13 6" xfId="12170" xr:uid="{00000000-0005-0000-0000-00009A4F0000}"/>
    <cellStyle name="Output 2 13 6 2" xfId="27002" xr:uid="{00000000-0005-0000-0000-00009B4F0000}"/>
    <cellStyle name="Output 2 13 7" xfId="9766" xr:uid="{00000000-0005-0000-0000-00009C4F0000}"/>
    <cellStyle name="Output 2 13 7 2" xfId="24723" xr:uid="{00000000-0005-0000-0000-00009D4F0000}"/>
    <cellStyle name="Output 2 14" xfId="2190" xr:uid="{00000000-0005-0000-0000-00009E4F0000}"/>
    <cellStyle name="Output 2 14 2" xfId="3730" xr:uid="{00000000-0005-0000-0000-00009F4F0000}"/>
    <cellStyle name="Output 2 14 2 2" xfId="7786" xr:uid="{00000000-0005-0000-0000-0000A04F0000}"/>
    <cellStyle name="Output 2 14 2 2 2" xfId="17339" xr:uid="{00000000-0005-0000-0000-0000A14F0000}"/>
    <cellStyle name="Output 2 14 2 2 2 2" xfId="32171" xr:uid="{00000000-0005-0000-0000-0000A24F0000}"/>
    <cellStyle name="Output 2 14 2 2 3" xfId="19135" xr:uid="{00000000-0005-0000-0000-0000A34F0000}"/>
    <cellStyle name="Output 2 14 2 3" xfId="14065" xr:uid="{00000000-0005-0000-0000-0000A44F0000}"/>
    <cellStyle name="Output 2 14 2 3 2" xfId="28897" xr:uid="{00000000-0005-0000-0000-0000A54F0000}"/>
    <cellStyle name="Output 2 14 2 4" xfId="10955" xr:uid="{00000000-0005-0000-0000-0000A64F0000}"/>
    <cellStyle name="Output 2 14 2 4 2" xfId="25787" xr:uid="{00000000-0005-0000-0000-0000A74F0000}"/>
    <cellStyle name="Output 2 14 3" xfId="5158" xr:uid="{00000000-0005-0000-0000-0000A84F0000}"/>
    <cellStyle name="Output 2 14 3 2" xfId="9197" xr:uid="{00000000-0005-0000-0000-0000A94F0000}"/>
    <cellStyle name="Output 2 14 3 2 2" xfId="18120" xr:uid="{00000000-0005-0000-0000-0000AA4F0000}"/>
    <cellStyle name="Output 2 14 3 2 2 2" xfId="32952" xr:uid="{00000000-0005-0000-0000-0000AB4F0000}"/>
    <cellStyle name="Output 2 14 3 2 3" xfId="19671" xr:uid="{00000000-0005-0000-0000-0000AC4F0000}"/>
    <cellStyle name="Output 2 14 3 3" xfId="15476" xr:uid="{00000000-0005-0000-0000-0000AD4F0000}"/>
    <cellStyle name="Output 2 14 3 3 2" xfId="30308" xr:uid="{00000000-0005-0000-0000-0000AE4F0000}"/>
    <cellStyle name="Output 2 14 3 4" xfId="11717" xr:uid="{00000000-0005-0000-0000-0000AF4F0000}"/>
    <cellStyle name="Output 2 14 3 4 2" xfId="26549" xr:uid="{00000000-0005-0000-0000-0000B04F0000}"/>
    <cellStyle name="Output 2 14 4" xfId="4188" xr:uid="{00000000-0005-0000-0000-0000B14F0000}"/>
    <cellStyle name="Output 2 14 4 2" xfId="8229" xr:uid="{00000000-0005-0000-0000-0000B24F0000}"/>
    <cellStyle name="Output 2 14 4 2 2" xfId="17576" xr:uid="{00000000-0005-0000-0000-0000B34F0000}"/>
    <cellStyle name="Output 2 14 4 2 2 2" xfId="32408" xr:uid="{00000000-0005-0000-0000-0000B44F0000}"/>
    <cellStyle name="Output 2 14 4 2 3" xfId="19314" xr:uid="{00000000-0005-0000-0000-0000B54F0000}"/>
    <cellStyle name="Output 2 14 4 3" xfId="14520" xr:uid="{00000000-0005-0000-0000-0000B64F0000}"/>
    <cellStyle name="Output 2 14 4 3 2" xfId="29352" xr:uid="{00000000-0005-0000-0000-0000B74F0000}"/>
    <cellStyle name="Output 2 14 4 4" xfId="11196" xr:uid="{00000000-0005-0000-0000-0000B84F0000}"/>
    <cellStyle name="Output 2 14 4 4 2" xfId="26028" xr:uid="{00000000-0005-0000-0000-0000B94F0000}"/>
    <cellStyle name="Output 2 14 5" xfId="6304" xr:uid="{00000000-0005-0000-0000-0000BA4F0000}"/>
    <cellStyle name="Output 2 14 5 2" xfId="16488" xr:uid="{00000000-0005-0000-0000-0000BB4F0000}"/>
    <cellStyle name="Output 2 14 5 2 2" xfId="31320" xr:uid="{00000000-0005-0000-0000-0000BC4F0000}"/>
    <cellStyle name="Output 2 14 5 3" xfId="18607" xr:uid="{00000000-0005-0000-0000-0000BD4F0000}"/>
    <cellStyle name="Output 2 14 6" xfId="12558" xr:uid="{00000000-0005-0000-0000-0000BE4F0000}"/>
    <cellStyle name="Output 2 14 6 2" xfId="27390" xr:uid="{00000000-0005-0000-0000-0000BF4F0000}"/>
    <cellStyle name="Output 2 14 7" xfId="10140" xr:uid="{00000000-0005-0000-0000-0000C04F0000}"/>
    <cellStyle name="Output 2 14 7 2" xfId="24972" xr:uid="{00000000-0005-0000-0000-0000C14F0000}"/>
    <cellStyle name="Output 2 15" xfId="3195" xr:uid="{00000000-0005-0000-0000-0000C24F0000}"/>
    <cellStyle name="Output 2 15 2" xfId="7259" xr:uid="{00000000-0005-0000-0000-0000C34F0000}"/>
    <cellStyle name="Output 2 15 2 2" xfId="17028" xr:uid="{00000000-0005-0000-0000-0000C44F0000}"/>
    <cellStyle name="Output 2 15 2 2 2" xfId="31860" xr:uid="{00000000-0005-0000-0000-0000C54F0000}"/>
    <cellStyle name="Output 2 15 2 3" xfId="18958" xr:uid="{00000000-0005-0000-0000-0000C64F0000}"/>
    <cellStyle name="Output 2 15 3" xfId="13533" xr:uid="{00000000-0005-0000-0000-0000C74F0000}"/>
    <cellStyle name="Output 2 15 3 2" xfId="28365" xr:uid="{00000000-0005-0000-0000-0000C84F0000}"/>
    <cellStyle name="Output 2 15 4" xfId="10673" xr:uid="{00000000-0005-0000-0000-0000C94F0000}"/>
    <cellStyle name="Output 2 15 4 2" xfId="25505" xr:uid="{00000000-0005-0000-0000-0000CA4F0000}"/>
    <cellStyle name="Output 2 16" xfId="3187" xr:uid="{00000000-0005-0000-0000-0000CB4F0000}"/>
    <cellStyle name="Output 2 16 2" xfId="7251" xr:uid="{00000000-0005-0000-0000-0000CC4F0000}"/>
    <cellStyle name="Output 2 16 2 2" xfId="17021" xr:uid="{00000000-0005-0000-0000-0000CD4F0000}"/>
    <cellStyle name="Output 2 16 2 2 2" xfId="31853" xr:uid="{00000000-0005-0000-0000-0000CE4F0000}"/>
    <cellStyle name="Output 2 16 2 3" xfId="18955" xr:uid="{00000000-0005-0000-0000-0000CF4F0000}"/>
    <cellStyle name="Output 2 16 3" xfId="13525" xr:uid="{00000000-0005-0000-0000-0000D04F0000}"/>
    <cellStyle name="Output 2 16 3 2" xfId="28357" xr:uid="{00000000-0005-0000-0000-0000D14F0000}"/>
    <cellStyle name="Output 2 16 4" xfId="10669" xr:uid="{00000000-0005-0000-0000-0000D24F0000}"/>
    <cellStyle name="Output 2 16 4 2" xfId="25501" xr:uid="{00000000-0005-0000-0000-0000D34F0000}"/>
    <cellStyle name="Output 2 17" xfId="2317" xr:uid="{00000000-0005-0000-0000-0000D44F0000}"/>
    <cellStyle name="Output 2 17 2" xfId="6429" xr:uid="{00000000-0005-0000-0000-0000D54F0000}"/>
    <cellStyle name="Output 2 17 2 2" xfId="16522" xr:uid="{00000000-0005-0000-0000-0000D64F0000}"/>
    <cellStyle name="Output 2 17 2 2 2" xfId="31354" xr:uid="{00000000-0005-0000-0000-0000D74F0000}"/>
    <cellStyle name="Output 2 17 2 3" xfId="18610" xr:uid="{00000000-0005-0000-0000-0000D84F0000}"/>
    <cellStyle name="Output 2 17 3" xfId="12657" xr:uid="{00000000-0005-0000-0000-0000D94F0000}"/>
    <cellStyle name="Output 2 17 3 2" xfId="27489" xr:uid="{00000000-0005-0000-0000-0000DA4F0000}"/>
    <cellStyle name="Output 2 17 4" xfId="10173" xr:uid="{00000000-0005-0000-0000-0000DB4F0000}"/>
    <cellStyle name="Output 2 17 4 2" xfId="25005" xr:uid="{00000000-0005-0000-0000-0000DC4F0000}"/>
    <cellStyle name="Output 2 18" xfId="5280" xr:uid="{00000000-0005-0000-0000-0000DD4F0000}"/>
    <cellStyle name="Output 2 18 2" xfId="9288" xr:uid="{00000000-0005-0000-0000-0000DE4F0000}"/>
    <cellStyle name="Output 2 18 2 2" xfId="18155" xr:uid="{00000000-0005-0000-0000-0000DF4F0000}"/>
    <cellStyle name="Output 2 18 2 2 2" xfId="32987" xr:uid="{00000000-0005-0000-0000-0000E04F0000}"/>
    <cellStyle name="Output 2 18 2 3" xfId="19674" xr:uid="{00000000-0005-0000-0000-0000E14F0000}"/>
    <cellStyle name="Output 2 18 3" xfId="15596" xr:uid="{00000000-0005-0000-0000-0000E24F0000}"/>
    <cellStyle name="Output 2 18 3 2" xfId="30428" xr:uid="{00000000-0005-0000-0000-0000E34F0000}"/>
    <cellStyle name="Output 2 19" xfId="5438" xr:uid="{00000000-0005-0000-0000-0000E44F0000}"/>
    <cellStyle name="Output 2 19 2" xfId="15674" xr:uid="{00000000-0005-0000-0000-0000E54F0000}"/>
    <cellStyle name="Output 2 19 2 2" xfId="30506" xr:uid="{00000000-0005-0000-0000-0000E64F0000}"/>
    <cellStyle name="Output 2 19 3" xfId="18251" xr:uid="{00000000-0005-0000-0000-0000E74F0000}"/>
    <cellStyle name="Output 2 2" xfId="1232" xr:uid="{00000000-0005-0000-0000-0000E84F0000}"/>
    <cellStyle name="Output 2 2 10" xfId="2318" xr:uid="{00000000-0005-0000-0000-0000E94F0000}"/>
    <cellStyle name="Output 2 2 10 2" xfId="6430" xr:uid="{00000000-0005-0000-0000-0000EA4F0000}"/>
    <cellStyle name="Output 2 2 10 2 2" xfId="16523" xr:uid="{00000000-0005-0000-0000-0000EB4F0000}"/>
    <cellStyle name="Output 2 2 10 2 2 2" xfId="31355" xr:uid="{00000000-0005-0000-0000-0000EC4F0000}"/>
    <cellStyle name="Output 2 2 10 2 3" xfId="18611" xr:uid="{00000000-0005-0000-0000-0000ED4F0000}"/>
    <cellStyle name="Output 2 2 10 3" xfId="12658" xr:uid="{00000000-0005-0000-0000-0000EE4F0000}"/>
    <cellStyle name="Output 2 2 10 3 2" xfId="27490" xr:uid="{00000000-0005-0000-0000-0000EF4F0000}"/>
    <cellStyle name="Output 2 2 10 4" xfId="10174" xr:uid="{00000000-0005-0000-0000-0000F04F0000}"/>
    <cellStyle name="Output 2 2 10 4 2" xfId="25006" xr:uid="{00000000-0005-0000-0000-0000F14F0000}"/>
    <cellStyle name="Output 2 2 11" xfId="5281" xr:uid="{00000000-0005-0000-0000-0000F24F0000}"/>
    <cellStyle name="Output 2 2 11 2" xfId="9289" xr:uid="{00000000-0005-0000-0000-0000F34F0000}"/>
    <cellStyle name="Output 2 2 11 2 2" xfId="18156" xr:uid="{00000000-0005-0000-0000-0000F44F0000}"/>
    <cellStyle name="Output 2 2 11 2 2 2" xfId="32988" xr:uid="{00000000-0005-0000-0000-0000F54F0000}"/>
    <cellStyle name="Output 2 2 11 2 3" xfId="19675" xr:uid="{00000000-0005-0000-0000-0000F64F0000}"/>
    <cellStyle name="Output 2 2 11 3" xfId="15597" xr:uid="{00000000-0005-0000-0000-0000F74F0000}"/>
    <cellStyle name="Output 2 2 11 3 2" xfId="30429" xr:uid="{00000000-0005-0000-0000-0000F84F0000}"/>
    <cellStyle name="Output 2 2 12" xfId="5439" xr:uid="{00000000-0005-0000-0000-0000F94F0000}"/>
    <cellStyle name="Output 2 2 12 2" xfId="15675" xr:uid="{00000000-0005-0000-0000-0000FA4F0000}"/>
    <cellStyle name="Output 2 2 12 2 2" xfId="30507" xr:uid="{00000000-0005-0000-0000-0000FB4F0000}"/>
    <cellStyle name="Output 2 2 12 3" xfId="18252" xr:uid="{00000000-0005-0000-0000-0000FC4F0000}"/>
    <cellStyle name="Output 2 2 13" xfId="9352" xr:uid="{00000000-0005-0000-0000-0000FD4F0000}"/>
    <cellStyle name="Output 2 2 13 2" xfId="24658" xr:uid="{00000000-0005-0000-0000-0000FE4F0000}"/>
    <cellStyle name="Output 2 2 14" xfId="5341" xr:uid="{00000000-0005-0000-0000-0000FF4F0000}"/>
    <cellStyle name="Output 2 2 14 2" xfId="18215" xr:uid="{00000000-0005-0000-0000-000000500000}"/>
    <cellStyle name="Output 2 2 2" xfId="1351" xr:uid="{00000000-0005-0000-0000-000001500000}"/>
    <cellStyle name="Output 2 2 2 2" xfId="1855" xr:uid="{00000000-0005-0000-0000-000002500000}"/>
    <cellStyle name="Output 2 2 2 2 2" xfId="3380" xr:uid="{00000000-0005-0000-0000-000003500000}"/>
    <cellStyle name="Output 2 2 2 2 2 2" xfId="7443" xr:uid="{00000000-0005-0000-0000-000004500000}"/>
    <cellStyle name="Output 2 2 2 2 2 2 2" xfId="17150" xr:uid="{00000000-0005-0000-0000-000005500000}"/>
    <cellStyle name="Output 2 2 2 2 2 2 2 2" xfId="31982" xr:uid="{00000000-0005-0000-0000-000006500000}"/>
    <cellStyle name="Output 2 2 2 2 2 2 3" xfId="19016" xr:uid="{00000000-0005-0000-0000-000007500000}"/>
    <cellStyle name="Output 2 2 2 2 2 3" xfId="13717" xr:uid="{00000000-0005-0000-0000-000008500000}"/>
    <cellStyle name="Output 2 2 2 2 2 3 2" xfId="28549" xr:uid="{00000000-0005-0000-0000-000009500000}"/>
    <cellStyle name="Output 2 2 2 2 2 4" xfId="10769" xr:uid="{00000000-0005-0000-0000-00000A500000}"/>
    <cellStyle name="Output 2 2 2 2 2 4 2" xfId="25601" xr:uid="{00000000-0005-0000-0000-00000B500000}"/>
    <cellStyle name="Output 2 2 2 2 3" xfId="4833" xr:uid="{00000000-0005-0000-0000-00000C500000}"/>
    <cellStyle name="Output 2 2 2 2 3 2" xfId="8872" xr:uid="{00000000-0005-0000-0000-00000D500000}"/>
    <cellStyle name="Output 2 2 2 2 3 2 2" xfId="17913" xr:uid="{00000000-0005-0000-0000-00000E500000}"/>
    <cellStyle name="Output 2 2 2 2 3 2 2 2" xfId="32745" xr:uid="{00000000-0005-0000-0000-00000F500000}"/>
    <cellStyle name="Output 2 2 2 2 3 2 3" xfId="19515" xr:uid="{00000000-0005-0000-0000-000010500000}"/>
    <cellStyle name="Output 2 2 2 2 3 3" xfId="15157" xr:uid="{00000000-0005-0000-0000-000011500000}"/>
    <cellStyle name="Output 2 2 2 2 3 3 2" xfId="29989" xr:uid="{00000000-0005-0000-0000-000012500000}"/>
    <cellStyle name="Output 2 2 2 2 3 4" xfId="11516" xr:uid="{00000000-0005-0000-0000-000013500000}"/>
    <cellStyle name="Output 2 2 2 2 3 4 2" xfId="26348" xr:uid="{00000000-0005-0000-0000-000014500000}"/>
    <cellStyle name="Output 2 2 2 2 4" xfId="2823" xr:uid="{00000000-0005-0000-0000-000015500000}"/>
    <cellStyle name="Output 2 2 2 2 4 2" xfId="6914" xr:uid="{00000000-0005-0000-0000-000016500000}"/>
    <cellStyle name="Output 2 2 2 2 4 2 2" xfId="16807" xr:uid="{00000000-0005-0000-0000-000017500000}"/>
    <cellStyle name="Output 2 2 2 2 4 2 2 2" xfId="31639" xr:uid="{00000000-0005-0000-0000-000018500000}"/>
    <cellStyle name="Output 2 2 2 2 4 2 3" xfId="18806" xr:uid="{00000000-0005-0000-0000-000019500000}"/>
    <cellStyle name="Output 2 2 2 2 4 3" xfId="13161" xr:uid="{00000000-0005-0000-0000-00001A500000}"/>
    <cellStyle name="Output 2 2 2 2 4 3 2" xfId="27993" xr:uid="{00000000-0005-0000-0000-00001B500000}"/>
    <cellStyle name="Output 2 2 2 2 4 4" xfId="10460" xr:uid="{00000000-0005-0000-0000-00001C500000}"/>
    <cellStyle name="Output 2 2 2 2 4 4 2" xfId="25292" xr:uid="{00000000-0005-0000-0000-00001D500000}"/>
    <cellStyle name="Output 2 2 2 2 5" xfId="5987" xr:uid="{00000000-0005-0000-0000-00001E500000}"/>
    <cellStyle name="Output 2 2 2 2 5 2" xfId="16179" xr:uid="{00000000-0005-0000-0000-00001F500000}"/>
    <cellStyle name="Output 2 2 2 2 5 2 2" xfId="31011" xr:uid="{00000000-0005-0000-0000-000020500000}"/>
    <cellStyle name="Output 2 2 2 2 5 3" xfId="18448" xr:uid="{00000000-0005-0000-0000-000021500000}"/>
    <cellStyle name="Output 2 2 2 2 6" xfId="12249" xr:uid="{00000000-0005-0000-0000-000022500000}"/>
    <cellStyle name="Output 2 2 2 2 6 2" xfId="27081" xr:uid="{00000000-0005-0000-0000-000023500000}"/>
    <cellStyle name="Output 2 2 2 2 7" xfId="9845" xr:uid="{00000000-0005-0000-0000-000024500000}"/>
    <cellStyle name="Output 2 2 2 2 7 2" xfId="24771" xr:uid="{00000000-0005-0000-0000-000025500000}"/>
    <cellStyle name="Output 2 2 2 3" xfId="3887" xr:uid="{00000000-0005-0000-0000-000026500000}"/>
    <cellStyle name="Output 2 2 2 3 2" xfId="7938" xr:uid="{00000000-0005-0000-0000-000027500000}"/>
    <cellStyle name="Output 2 2 2 3 2 2" xfId="17412" xr:uid="{00000000-0005-0000-0000-000028500000}"/>
    <cellStyle name="Output 2 2 2 3 2 2 2" xfId="32244" xr:uid="{00000000-0005-0000-0000-000029500000}"/>
    <cellStyle name="Output 2 2 2 3 2 3" xfId="19188" xr:uid="{00000000-0005-0000-0000-00002A500000}"/>
    <cellStyle name="Output 2 2 2 3 3" xfId="14221" xr:uid="{00000000-0005-0000-0000-00002B500000}"/>
    <cellStyle name="Output 2 2 2 3 3 2" xfId="29053" xr:uid="{00000000-0005-0000-0000-00002C500000}"/>
    <cellStyle name="Output 2 2 2 3 4" xfId="11029" xr:uid="{00000000-0005-0000-0000-00002D500000}"/>
    <cellStyle name="Output 2 2 2 3 4 2" xfId="25861" xr:uid="{00000000-0005-0000-0000-00002E500000}"/>
    <cellStyle name="Output 2 2 2 4" xfId="4413" xr:uid="{00000000-0005-0000-0000-00002F500000}"/>
    <cellStyle name="Output 2 2 2 4 2" xfId="8452" xr:uid="{00000000-0005-0000-0000-000030500000}"/>
    <cellStyle name="Output 2 2 2 4 2 2" xfId="17673" xr:uid="{00000000-0005-0000-0000-000031500000}"/>
    <cellStyle name="Output 2 2 2 4 2 2 2" xfId="32505" xr:uid="{00000000-0005-0000-0000-000032500000}"/>
    <cellStyle name="Output 2 2 2 4 2 3" xfId="19355" xr:uid="{00000000-0005-0000-0000-000033500000}"/>
    <cellStyle name="Output 2 2 2 4 3" xfId="14742" xr:uid="{00000000-0005-0000-0000-000034500000}"/>
    <cellStyle name="Output 2 2 2 4 3 2" xfId="29574" xr:uid="{00000000-0005-0000-0000-000035500000}"/>
    <cellStyle name="Output 2 2 2 4 4" xfId="11281" xr:uid="{00000000-0005-0000-0000-000036500000}"/>
    <cellStyle name="Output 2 2 2 4 4 2" xfId="26113" xr:uid="{00000000-0005-0000-0000-000037500000}"/>
    <cellStyle name="Output 2 2 2 5" xfId="2403" xr:uid="{00000000-0005-0000-0000-000038500000}"/>
    <cellStyle name="Output 2 2 2 5 2" xfId="6515" xr:uid="{00000000-0005-0000-0000-000039500000}"/>
    <cellStyle name="Output 2 2 2 5 2 2" xfId="16571" xr:uid="{00000000-0005-0000-0000-00003A500000}"/>
    <cellStyle name="Output 2 2 2 5 2 2 2" xfId="31403" xr:uid="{00000000-0005-0000-0000-00003B500000}"/>
    <cellStyle name="Output 2 2 2 5 2 3" xfId="18643" xr:uid="{00000000-0005-0000-0000-00003C500000}"/>
    <cellStyle name="Output 2 2 2 5 3" xfId="12742" xr:uid="{00000000-0005-0000-0000-00003D500000}"/>
    <cellStyle name="Output 2 2 2 5 3 2" xfId="27574" xr:uid="{00000000-0005-0000-0000-00003E500000}"/>
    <cellStyle name="Output 2 2 2 5 4" xfId="10221" xr:uid="{00000000-0005-0000-0000-00003F500000}"/>
    <cellStyle name="Output 2 2 2 5 4 2" xfId="25053" xr:uid="{00000000-0005-0000-0000-000040500000}"/>
    <cellStyle name="Output 2 2 2 6" xfId="5528" xr:uid="{00000000-0005-0000-0000-000041500000}"/>
    <cellStyle name="Output 2 2 2 6 2" xfId="15763" xr:uid="{00000000-0005-0000-0000-000042500000}"/>
    <cellStyle name="Output 2 2 2 6 2 2" xfId="30595" xr:uid="{00000000-0005-0000-0000-000043500000}"/>
    <cellStyle name="Output 2 2 2 6 3" xfId="18285" xr:uid="{00000000-0005-0000-0000-000044500000}"/>
    <cellStyle name="Output 2 2 2 7" xfId="11778" xr:uid="{00000000-0005-0000-0000-000045500000}"/>
    <cellStyle name="Output 2 2 2 7 2" xfId="26610" xr:uid="{00000000-0005-0000-0000-000046500000}"/>
    <cellStyle name="Output 2 2 2 8" xfId="9449" xr:uid="{00000000-0005-0000-0000-000047500000}"/>
    <cellStyle name="Output 2 2 2 8 2" xfId="19753" xr:uid="{00000000-0005-0000-0000-000048500000}"/>
    <cellStyle name="Output 2 2 3" xfId="1521" xr:uid="{00000000-0005-0000-0000-000049500000}"/>
    <cellStyle name="Output 2 2 3 2" xfId="2018" xr:uid="{00000000-0005-0000-0000-00004A500000}"/>
    <cellStyle name="Output 2 2 3 2 2" xfId="3558" xr:uid="{00000000-0005-0000-0000-00004B500000}"/>
    <cellStyle name="Output 2 2 3 2 2 2" xfId="7620" xr:uid="{00000000-0005-0000-0000-00004C500000}"/>
    <cellStyle name="Output 2 2 3 2 2 2 2" xfId="17256" xr:uid="{00000000-0005-0000-0000-00004D500000}"/>
    <cellStyle name="Output 2 2 3 2 2 2 2 2" xfId="32088" xr:uid="{00000000-0005-0000-0000-00004E500000}"/>
    <cellStyle name="Output 2 2 3 2 2 2 3" xfId="19079" xr:uid="{00000000-0005-0000-0000-00004F500000}"/>
    <cellStyle name="Output 2 2 3 2 2 3" xfId="13894" xr:uid="{00000000-0005-0000-0000-000050500000}"/>
    <cellStyle name="Output 2 2 3 2 2 3 2" xfId="28726" xr:uid="{00000000-0005-0000-0000-000051500000}"/>
    <cellStyle name="Output 2 2 3 2 2 4" xfId="10873" xr:uid="{00000000-0005-0000-0000-000052500000}"/>
    <cellStyle name="Output 2 2 3 2 2 4 2" xfId="25705" xr:uid="{00000000-0005-0000-0000-000053500000}"/>
    <cellStyle name="Output 2 2 3 2 3" xfId="4986" xr:uid="{00000000-0005-0000-0000-000054500000}"/>
    <cellStyle name="Output 2 2 3 2 3 2" xfId="9025" xr:uid="{00000000-0005-0000-0000-000055500000}"/>
    <cellStyle name="Output 2 2 3 2 3 2 2" xfId="17963" xr:uid="{00000000-0005-0000-0000-000056500000}"/>
    <cellStyle name="Output 2 2 3 2 3 2 2 2" xfId="32795" xr:uid="{00000000-0005-0000-0000-000057500000}"/>
    <cellStyle name="Output 2 2 3 2 3 2 3" xfId="19547" xr:uid="{00000000-0005-0000-0000-000058500000}"/>
    <cellStyle name="Output 2 2 3 2 3 3" xfId="15308" xr:uid="{00000000-0005-0000-0000-000059500000}"/>
    <cellStyle name="Output 2 2 3 2 3 3 2" xfId="30140" xr:uid="{00000000-0005-0000-0000-00005A500000}"/>
    <cellStyle name="Output 2 2 3 2 3 4" xfId="11564" xr:uid="{00000000-0005-0000-0000-00005B500000}"/>
    <cellStyle name="Output 2 2 3 2 3 4 2" xfId="26396" xr:uid="{00000000-0005-0000-0000-00005C500000}"/>
    <cellStyle name="Output 2 2 3 2 4" xfId="2976" xr:uid="{00000000-0005-0000-0000-00005D500000}"/>
    <cellStyle name="Output 2 2 3 2 4 2" xfId="7056" xr:uid="{00000000-0005-0000-0000-00005E500000}"/>
    <cellStyle name="Output 2 2 3 2 4 2 2" xfId="16855" xr:uid="{00000000-0005-0000-0000-00005F500000}"/>
    <cellStyle name="Output 2 2 3 2 4 2 2 2" xfId="31687" xr:uid="{00000000-0005-0000-0000-000060500000}"/>
    <cellStyle name="Output 2 2 3 2 4 2 3" xfId="18839" xr:uid="{00000000-0005-0000-0000-000061500000}"/>
    <cellStyle name="Output 2 2 3 2 4 3" xfId="13314" xr:uid="{00000000-0005-0000-0000-000062500000}"/>
    <cellStyle name="Output 2 2 3 2 4 3 2" xfId="28146" xr:uid="{00000000-0005-0000-0000-000063500000}"/>
    <cellStyle name="Output 2 2 3 2 4 4" xfId="10510" xr:uid="{00000000-0005-0000-0000-000064500000}"/>
    <cellStyle name="Output 2 2 3 2 4 4 2" xfId="25342" xr:uid="{00000000-0005-0000-0000-000065500000}"/>
    <cellStyle name="Output 2 2 3 2 5" xfId="6148" xr:uid="{00000000-0005-0000-0000-000066500000}"/>
    <cellStyle name="Output 2 2 3 2 5 2" xfId="16335" xr:uid="{00000000-0005-0000-0000-000067500000}"/>
    <cellStyle name="Output 2 2 3 2 5 2 2" xfId="31167" xr:uid="{00000000-0005-0000-0000-000068500000}"/>
    <cellStyle name="Output 2 2 3 2 5 3" xfId="18480" xr:uid="{00000000-0005-0000-0000-000069500000}"/>
    <cellStyle name="Output 2 2 3 2 6" xfId="12405" xr:uid="{00000000-0005-0000-0000-00006A500000}"/>
    <cellStyle name="Output 2 2 3 2 6 2" xfId="27237" xr:uid="{00000000-0005-0000-0000-00006B500000}"/>
    <cellStyle name="Output 2 2 3 2 7" xfId="9987" xr:uid="{00000000-0005-0000-0000-00006C500000}"/>
    <cellStyle name="Output 2 2 3 2 7 2" xfId="24819" xr:uid="{00000000-0005-0000-0000-00006D500000}"/>
    <cellStyle name="Output 2 2 3 3" xfId="3333" xr:uid="{00000000-0005-0000-0000-00006E500000}"/>
    <cellStyle name="Output 2 2 3 3 2" xfId="7396" xr:uid="{00000000-0005-0000-0000-00006F500000}"/>
    <cellStyle name="Output 2 2 3 3 2 2" xfId="17129" xr:uid="{00000000-0005-0000-0000-000070500000}"/>
    <cellStyle name="Output 2 2 3 3 2 2 2" xfId="31961" xr:uid="{00000000-0005-0000-0000-000071500000}"/>
    <cellStyle name="Output 2 2 3 3 2 3" xfId="19003" xr:uid="{00000000-0005-0000-0000-000072500000}"/>
    <cellStyle name="Output 2 2 3 3 3" xfId="13670" xr:uid="{00000000-0005-0000-0000-000073500000}"/>
    <cellStyle name="Output 2 2 3 3 3 2" xfId="28502" xr:uid="{00000000-0005-0000-0000-000074500000}"/>
    <cellStyle name="Output 2 2 3 3 4" xfId="10750" xr:uid="{00000000-0005-0000-0000-000075500000}"/>
    <cellStyle name="Output 2 2 3 3 4 2" xfId="25582" xr:uid="{00000000-0005-0000-0000-000076500000}"/>
    <cellStyle name="Output 2 2 3 4" xfId="4566" xr:uid="{00000000-0005-0000-0000-000077500000}"/>
    <cellStyle name="Output 2 2 3 4 2" xfId="8605" xr:uid="{00000000-0005-0000-0000-000078500000}"/>
    <cellStyle name="Output 2 2 3 4 2 2" xfId="17723" xr:uid="{00000000-0005-0000-0000-000079500000}"/>
    <cellStyle name="Output 2 2 3 4 2 2 2" xfId="32555" xr:uid="{00000000-0005-0000-0000-00007A500000}"/>
    <cellStyle name="Output 2 2 3 4 2 3" xfId="19387" xr:uid="{00000000-0005-0000-0000-00007B500000}"/>
    <cellStyle name="Output 2 2 3 4 3" xfId="14893" xr:uid="{00000000-0005-0000-0000-00007C500000}"/>
    <cellStyle name="Output 2 2 3 4 3 2" xfId="29725" xr:uid="{00000000-0005-0000-0000-00007D500000}"/>
    <cellStyle name="Output 2 2 3 4 4" xfId="11329" xr:uid="{00000000-0005-0000-0000-00007E500000}"/>
    <cellStyle name="Output 2 2 3 4 4 2" xfId="26161" xr:uid="{00000000-0005-0000-0000-00007F500000}"/>
    <cellStyle name="Output 2 2 3 5" xfId="2556" xr:uid="{00000000-0005-0000-0000-000080500000}"/>
    <cellStyle name="Output 2 2 3 5 2" xfId="6662" xr:uid="{00000000-0005-0000-0000-000081500000}"/>
    <cellStyle name="Output 2 2 3 5 2 2" xfId="16620" xr:uid="{00000000-0005-0000-0000-000082500000}"/>
    <cellStyle name="Output 2 2 3 5 2 2 2" xfId="31452" xr:uid="{00000000-0005-0000-0000-000083500000}"/>
    <cellStyle name="Output 2 2 3 5 2 3" xfId="18675" xr:uid="{00000000-0005-0000-0000-000084500000}"/>
    <cellStyle name="Output 2 2 3 5 3" xfId="12894" xr:uid="{00000000-0005-0000-0000-000085500000}"/>
    <cellStyle name="Output 2 2 3 5 3 2" xfId="27726" xr:uid="{00000000-0005-0000-0000-000086500000}"/>
    <cellStyle name="Output 2 2 3 5 4" xfId="10270" xr:uid="{00000000-0005-0000-0000-000087500000}"/>
    <cellStyle name="Output 2 2 3 5 4 2" xfId="25102" xr:uid="{00000000-0005-0000-0000-000088500000}"/>
    <cellStyle name="Output 2 2 3 6" xfId="5679" xr:uid="{00000000-0005-0000-0000-000089500000}"/>
    <cellStyle name="Output 2 2 3 6 2" xfId="15914" xr:uid="{00000000-0005-0000-0000-00008A500000}"/>
    <cellStyle name="Output 2 2 3 6 2 2" xfId="30746" xr:uid="{00000000-0005-0000-0000-00008B500000}"/>
    <cellStyle name="Output 2 2 3 6 3" xfId="18317" xr:uid="{00000000-0005-0000-0000-00008C500000}"/>
    <cellStyle name="Output 2 2 3 7" xfId="11934" xr:uid="{00000000-0005-0000-0000-00008D500000}"/>
    <cellStyle name="Output 2 2 3 7 2" xfId="26766" xr:uid="{00000000-0005-0000-0000-00008E500000}"/>
    <cellStyle name="Output 2 2 3 8" xfId="9592" xr:uid="{00000000-0005-0000-0000-00008F500000}"/>
    <cellStyle name="Output 2 2 3 8 2" xfId="19894" xr:uid="{00000000-0005-0000-0000-000090500000}"/>
    <cellStyle name="Output 2 2 4" xfId="1576" xr:uid="{00000000-0005-0000-0000-000091500000}"/>
    <cellStyle name="Output 2 2 4 2" xfId="2073" xr:uid="{00000000-0005-0000-0000-000092500000}"/>
    <cellStyle name="Output 2 2 4 2 2" xfId="4037" xr:uid="{00000000-0005-0000-0000-000093500000}"/>
    <cellStyle name="Output 2 2 4 2 2 2" xfId="8084" xr:uid="{00000000-0005-0000-0000-000094500000}"/>
    <cellStyle name="Output 2 2 4 2 2 2 2" xfId="17488" xr:uid="{00000000-0005-0000-0000-000095500000}"/>
    <cellStyle name="Output 2 2 4 2 2 2 2 2" xfId="32320" xr:uid="{00000000-0005-0000-0000-000096500000}"/>
    <cellStyle name="Output 2 2 4 2 2 2 3" xfId="19244" xr:uid="{00000000-0005-0000-0000-000097500000}"/>
    <cellStyle name="Output 2 2 4 2 2 3" xfId="14369" xr:uid="{00000000-0005-0000-0000-000098500000}"/>
    <cellStyle name="Output 2 2 4 2 2 3 2" xfId="29201" xr:uid="{00000000-0005-0000-0000-000099500000}"/>
    <cellStyle name="Output 2 2 4 2 2 4" xfId="11104" xr:uid="{00000000-0005-0000-0000-00009A500000}"/>
    <cellStyle name="Output 2 2 4 2 2 4 2" xfId="25936" xr:uid="{00000000-0005-0000-0000-00009B500000}"/>
    <cellStyle name="Output 2 2 4 2 3" xfId="5041" xr:uid="{00000000-0005-0000-0000-00009C500000}"/>
    <cellStyle name="Output 2 2 4 2 3 2" xfId="9080" xr:uid="{00000000-0005-0000-0000-00009D500000}"/>
    <cellStyle name="Output 2 2 4 2 3 2 2" xfId="18013" xr:uid="{00000000-0005-0000-0000-00009E500000}"/>
    <cellStyle name="Output 2 2 4 2 3 2 2 2" xfId="32845" xr:uid="{00000000-0005-0000-0000-00009F500000}"/>
    <cellStyle name="Output 2 2 4 2 3 2 3" xfId="19579" xr:uid="{00000000-0005-0000-0000-0000A0500000}"/>
    <cellStyle name="Output 2 2 4 2 3 3" xfId="15362" xr:uid="{00000000-0005-0000-0000-0000A1500000}"/>
    <cellStyle name="Output 2 2 4 2 3 3 2" xfId="30194" xr:uid="{00000000-0005-0000-0000-0000A2500000}"/>
    <cellStyle name="Output 2 2 4 2 3 4" xfId="11613" xr:uid="{00000000-0005-0000-0000-0000A3500000}"/>
    <cellStyle name="Output 2 2 4 2 3 4 2" xfId="26445" xr:uid="{00000000-0005-0000-0000-0000A4500000}"/>
    <cellStyle name="Output 2 2 4 2 4" xfId="3031" xr:uid="{00000000-0005-0000-0000-0000A5500000}"/>
    <cellStyle name="Output 2 2 4 2 4 2" xfId="7106" xr:uid="{00000000-0005-0000-0000-0000A6500000}"/>
    <cellStyle name="Output 2 2 4 2 4 2 2" xfId="16904" xr:uid="{00000000-0005-0000-0000-0000A7500000}"/>
    <cellStyle name="Output 2 2 4 2 4 2 2 2" xfId="31736" xr:uid="{00000000-0005-0000-0000-0000A8500000}"/>
    <cellStyle name="Output 2 2 4 2 4 2 3" xfId="18872" xr:uid="{00000000-0005-0000-0000-0000A9500000}"/>
    <cellStyle name="Output 2 2 4 2 4 3" xfId="13369" xr:uid="{00000000-0005-0000-0000-0000AA500000}"/>
    <cellStyle name="Output 2 2 4 2 4 3 2" xfId="28201" xr:uid="{00000000-0005-0000-0000-0000AB500000}"/>
    <cellStyle name="Output 2 2 4 2 4 4" xfId="10560" xr:uid="{00000000-0005-0000-0000-0000AC500000}"/>
    <cellStyle name="Output 2 2 4 2 4 4 2" xfId="25392" xr:uid="{00000000-0005-0000-0000-0000AD500000}"/>
    <cellStyle name="Output 2 2 4 2 5" xfId="6198" xr:uid="{00000000-0005-0000-0000-0000AE500000}"/>
    <cellStyle name="Output 2 2 4 2 5 2" xfId="16384" xr:uid="{00000000-0005-0000-0000-0000AF500000}"/>
    <cellStyle name="Output 2 2 4 2 5 2 2" xfId="31216" xr:uid="{00000000-0005-0000-0000-0000B0500000}"/>
    <cellStyle name="Output 2 2 4 2 5 3" xfId="18513" xr:uid="{00000000-0005-0000-0000-0000B1500000}"/>
    <cellStyle name="Output 2 2 4 2 6" xfId="12454" xr:uid="{00000000-0005-0000-0000-0000B2500000}"/>
    <cellStyle name="Output 2 2 4 2 6 2" xfId="27286" xr:uid="{00000000-0005-0000-0000-0000B3500000}"/>
    <cellStyle name="Output 2 2 4 2 7" xfId="10036" xr:uid="{00000000-0005-0000-0000-0000B4500000}"/>
    <cellStyle name="Output 2 2 4 2 7 2" xfId="24868" xr:uid="{00000000-0005-0000-0000-0000B5500000}"/>
    <cellStyle name="Output 2 2 4 3" xfId="3694" xr:uid="{00000000-0005-0000-0000-0000B6500000}"/>
    <cellStyle name="Output 2 2 4 3 2" xfId="7750" xr:uid="{00000000-0005-0000-0000-0000B7500000}"/>
    <cellStyle name="Output 2 2 4 3 2 2" xfId="17319" xr:uid="{00000000-0005-0000-0000-0000B8500000}"/>
    <cellStyle name="Output 2 2 4 3 2 2 2" xfId="32151" xr:uid="{00000000-0005-0000-0000-0000B9500000}"/>
    <cellStyle name="Output 2 2 4 3 2 3" xfId="19125" xr:uid="{00000000-0005-0000-0000-0000BA500000}"/>
    <cellStyle name="Output 2 2 4 3 3" xfId="14029" xr:uid="{00000000-0005-0000-0000-0000BB500000}"/>
    <cellStyle name="Output 2 2 4 3 3 2" xfId="28861" xr:uid="{00000000-0005-0000-0000-0000BC500000}"/>
    <cellStyle name="Output 2 2 4 3 4" xfId="10937" xr:uid="{00000000-0005-0000-0000-0000BD500000}"/>
    <cellStyle name="Output 2 2 4 3 4 2" xfId="25769" xr:uid="{00000000-0005-0000-0000-0000BE500000}"/>
    <cellStyle name="Output 2 2 4 4" xfId="4621" xr:uid="{00000000-0005-0000-0000-0000BF500000}"/>
    <cellStyle name="Output 2 2 4 4 2" xfId="8660" xr:uid="{00000000-0005-0000-0000-0000C0500000}"/>
    <cellStyle name="Output 2 2 4 4 2 2" xfId="17773" xr:uid="{00000000-0005-0000-0000-0000C1500000}"/>
    <cellStyle name="Output 2 2 4 4 2 2 2" xfId="32605" xr:uid="{00000000-0005-0000-0000-0000C2500000}"/>
    <cellStyle name="Output 2 2 4 4 2 3" xfId="19419" xr:uid="{00000000-0005-0000-0000-0000C3500000}"/>
    <cellStyle name="Output 2 2 4 4 3" xfId="14947" xr:uid="{00000000-0005-0000-0000-0000C4500000}"/>
    <cellStyle name="Output 2 2 4 4 3 2" xfId="29779" xr:uid="{00000000-0005-0000-0000-0000C5500000}"/>
    <cellStyle name="Output 2 2 4 4 4" xfId="11378" xr:uid="{00000000-0005-0000-0000-0000C6500000}"/>
    <cellStyle name="Output 2 2 4 4 4 2" xfId="26210" xr:uid="{00000000-0005-0000-0000-0000C7500000}"/>
    <cellStyle name="Output 2 2 4 5" xfId="2611" xr:uid="{00000000-0005-0000-0000-0000C8500000}"/>
    <cellStyle name="Output 2 2 4 5 2" xfId="6712" xr:uid="{00000000-0005-0000-0000-0000C9500000}"/>
    <cellStyle name="Output 2 2 4 5 2 2" xfId="16669" xr:uid="{00000000-0005-0000-0000-0000CA500000}"/>
    <cellStyle name="Output 2 2 4 5 2 2 2" xfId="31501" xr:uid="{00000000-0005-0000-0000-0000CB500000}"/>
    <cellStyle name="Output 2 2 4 5 2 3" xfId="18708" xr:uid="{00000000-0005-0000-0000-0000CC500000}"/>
    <cellStyle name="Output 2 2 4 5 3" xfId="12949" xr:uid="{00000000-0005-0000-0000-0000CD500000}"/>
    <cellStyle name="Output 2 2 4 5 3 2" xfId="27781" xr:uid="{00000000-0005-0000-0000-0000CE500000}"/>
    <cellStyle name="Output 2 2 4 5 4" xfId="10320" xr:uid="{00000000-0005-0000-0000-0000CF500000}"/>
    <cellStyle name="Output 2 2 4 5 4 2" xfId="25152" xr:uid="{00000000-0005-0000-0000-0000D0500000}"/>
    <cellStyle name="Output 2 2 4 6" xfId="5728" xr:uid="{00000000-0005-0000-0000-0000D1500000}"/>
    <cellStyle name="Output 2 2 4 6 2" xfId="15963" xr:uid="{00000000-0005-0000-0000-0000D2500000}"/>
    <cellStyle name="Output 2 2 4 6 2 2" xfId="30795" xr:uid="{00000000-0005-0000-0000-0000D3500000}"/>
    <cellStyle name="Output 2 2 4 6 3" xfId="18349" xr:uid="{00000000-0005-0000-0000-0000D4500000}"/>
    <cellStyle name="Output 2 2 4 7" xfId="11983" xr:uid="{00000000-0005-0000-0000-0000D5500000}"/>
    <cellStyle name="Output 2 2 4 7 2" xfId="26815" xr:uid="{00000000-0005-0000-0000-0000D6500000}"/>
    <cellStyle name="Output 2 2 4 8" xfId="9642" xr:uid="{00000000-0005-0000-0000-0000D7500000}"/>
    <cellStyle name="Output 2 2 4 8 2" xfId="19943" xr:uid="{00000000-0005-0000-0000-0000D8500000}"/>
    <cellStyle name="Output 2 2 5" xfId="1626" xr:uid="{00000000-0005-0000-0000-0000D9500000}"/>
    <cellStyle name="Output 2 2 5 2" xfId="2123" xr:uid="{00000000-0005-0000-0000-0000DA500000}"/>
    <cellStyle name="Output 2 2 5 2 2" xfId="3414" xr:uid="{00000000-0005-0000-0000-0000DB500000}"/>
    <cellStyle name="Output 2 2 5 2 2 2" xfId="7477" xr:uid="{00000000-0005-0000-0000-0000DC500000}"/>
    <cellStyle name="Output 2 2 5 2 2 2 2" xfId="17176" xr:uid="{00000000-0005-0000-0000-0000DD500000}"/>
    <cellStyle name="Output 2 2 5 2 2 2 2 2" xfId="32008" xr:uid="{00000000-0005-0000-0000-0000DE500000}"/>
    <cellStyle name="Output 2 2 5 2 2 2 3" xfId="19025" xr:uid="{00000000-0005-0000-0000-0000DF500000}"/>
    <cellStyle name="Output 2 2 5 2 2 3" xfId="13751" xr:uid="{00000000-0005-0000-0000-0000E0500000}"/>
    <cellStyle name="Output 2 2 5 2 2 3 2" xfId="28583" xr:uid="{00000000-0005-0000-0000-0000E1500000}"/>
    <cellStyle name="Output 2 2 5 2 2 4" xfId="10795" xr:uid="{00000000-0005-0000-0000-0000E2500000}"/>
    <cellStyle name="Output 2 2 5 2 2 4 2" xfId="25627" xr:uid="{00000000-0005-0000-0000-0000E3500000}"/>
    <cellStyle name="Output 2 2 5 2 3" xfId="5091" xr:uid="{00000000-0005-0000-0000-0000E4500000}"/>
    <cellStyle name="Output 2 2 5 2 3 2" xfId="9130" xr:uid="{00000000-0005-0000-0000-0000E5500000}"/>
    <cellStyle name="Output 2 2 5 2 3 2 2" xfId="18058" xr:uid="{00000000-0005-0000-0000-0000E6500000}"/>
    <cellStyle name="Output 2 2 5 2 3 2 2 2" xfId="32890" xr:uid="{00000000-0005-0000-0000-0000E7500000}"/>
    <cellStyle name="Output 2 2 5 2 3 2 3" xfId="19611" xr:uid="{00000000-0005-0000-0000-0000E8500000}"/>
    <cellStyle name="Output 2 2 5 2 3 3" xfId="15411" xr:uid="{00000000-0005-0000-0000-0000E9500000}"/>
    <cellStyle name="Output 2 2 5 2 3 3 2" xfId="30243" xr:uid="{00000000-0005-0000-0000-0000EA500000}"/>
    <cellStyle name="Output 2 2 5 2 3 4" xfId="11657" xr:uid="{00000000-0005-0000-0000-0000EB500000}"/>
    <cellStyle name="Output 2 2 5 2 3 4 2" xfId="26489" xr:uid="{00000000-0005-0000-0000-0000EC500000}"/>
    <cellStyle name="Output 2 2 5 2 4" xfId="3081" xr:uid="{00000000-0005-0000-0000-0000ED500000}"/>
    <cellStyle name="Output 2 2 5 2 4 2" xfId="7151" xr:uid="{00000000-0005-0000-0000-0000EE500000}"/>
    <cellStyle name="Output 2 2 5 2 4 2 2" xfId="16948" xr:uid="{00000000-0005-0000-0000-0000EF500000}"/>
    <cellStyle name="Output 2 2 5 2 4 2 2 2" xfId="31780" xr:uid="{00000000-0005-0000-0000-0000F0500000}"/>
    <cellStyle name="Output 2 2 5 2 4 2 3" xfId="18905" xr:uid="{00000000-0005-0000-0000-0000F1500000}"/>
    <cellStyle name="Output 2 2 5 2 4 3" xfId="13419" xr:uid="{00000000-0005-0000-0000-0000F2500000}"/>
    <cellStyle name="Output 2 2 5 2 4 3 2" xfId="28251" xr:uid="{00000000-0005-0000-0000-0000F3500000}"/>
    <cellStyle name="Output 2 2 5 2 4 4" xfId="10605" xr:uid="{00000000-0005-0000-0000-0000F4500000}"/>
    <cellStyle name="Output 2 2 5 2 4 4 2" xfId="25437" xr:uid="{00000000-0005-0000-0000-0000F5500000}"/>
    <cellStyle name="Output 2 2 5 2 5" xfId="6243" xr:uid="{00000000-0005-0000-0000-0000F6500000}"/>
    <cellStyle name="Output 2 2 5 2 5 2" xfId="16428" xr:uid="{00000000-0005-0000-0000-0000F7500000}"/>
    <cellStyle name="Output 2 2 5 2 5 2 2" xfId="31260" xr:uid="{00000000-0005-0000-0000-0000F8500000}"/>
    <cellStyle name="Output 2 2 5 2 5 3" xfId="18546" xr:uid="{00000000-0005-0000-0000-0000F9500000}"/>
    <cellStyle name="Output 2 2 5 2 6" xfId="12498" xr:uid="{00000000-0005-0000-0000-0000FA500000}"/>
    <cellStyle name="Output 2 2 5 2 6 2" xfId="27330" xr:uid="{00000000-0005-0000-0000-0000FB500000}"/>
    <cellStyle name="Output 2 2 5 2 7" xfId="10080" xr:uid="{00000000-0005-0000-0000-0000FC500000}"/>
    <cellStyle name="Output 2 2 5 2 7 2" xfId="24912" xr:uid="{00000000-0005-0000-0000-0000FD500000}"/>
    <cellStyle name="Output 2 2 5 3" xfId="3917" xr:uid="{00000000-0005-0000-0000-0000FE500000}"/>
    <cellStyle name="Output 2 2 5 3 2" xfId="7968" xr:uid="{00000000-0005-0000-0000-0000FF500000}"/>
    <cellStyle name="Output 2 2 5 3 2 2" xfId="17429" xr:uid="{00000000-0005-0000-0000-000000510000}"/>
    <cellStyle name="Output 2 2 5 3 2 2 2" xfId="32261" xr:uid="{00000000-0005-0000-0000-000001510000}"/>
    <cellStyle name="Output 2 2 5 3 2 3" xfId="19202" xr:uid="{00000000-0005-0000-0000-000002510000}"/>
    <cellStyle name="Output 2 2 5 3 3" xfId="14250" xr:uid="{00000000-0005-0000-0000-000003510000}"/>
    <cellStyle name="Output 2 2 5 3 3 2" xfId="29082" xr:uid="{00000000-0005-0000-0000-000004510000}"/>
    <cellStyle name="Output 2 2 5 3 4" xfId="11045" xr:uid="{00000000-0005-0000-0000-000005510000}"/>
    <cellStyle name="Output 2 2 5 3 4 2" xfId="25877" xr:uid="{00000000-0005-0000-0000-000006510000}"/>
    <cellStyle name="Output 2 2 5 4" xfId="4671" xr:uid="{00000000-0005-0000-0000-000007510000}"/>
    <cellStyle name="Output 2 2 5 4 2" xfId="8710" xr:uid="{00000000-0005-0000-0000-000008510000}"/>
    <cellStyle name="Output 2 2 5 4 2 2" xfId="17818" xr:uid="{00000000-0005-0000-0000-000009510000}"/>
    <cellStyle name="Output 2 2 5 4 2 2 2" xfId="32650" xr:uid="{00000000-0005-0000-0000-00000A510000}"/>
    <cellStyle name="Output 2 2 5 4 2 3" xfId="19451" xr:uid="{00000000-0005-0000-0000-00000B510000}"/>
    <cellStyle name="Output 2 2 5 4 3" xfId="14996" xr:uid="{00000000-0005-0000-0000-00000C510000}"/>
    <cellStyle name="Output 2 2 5 4 3 2" xfId="29828" xr:uid="{00000000-0005-0000-0000-00000D510000}"/>
    <cellStyle name="Output 2 2 5 4 4" xfId="11422" xr:uid="{00000000-0005-0000-0000-00000E510000}"/>
    <cellStyle name="Output 2 2 5 4 4 2" xfId="26254" xr:uid="{00000000-0005-0000-0000-00000F510000}"/>
    <cellStyle name="Output 2 2 5 5" xfId="2661" xr:uid="{00000000-0005-0000-0000-000010510000}"/>
    <cellStyle name="Output 2 2 5 5 2" xfId="6757" xr:uid="{00000000-0005-0000-0000-000011510000}"/>
    <cellStyle name="Output 2 2 5 5 2 2" xfId="16713" xr:uid="{00000000-0005-0000-0000-000012510000}"/>
    <cellStyle name="Output 2 2 5 5 2 2 2" xfId="31545" xr:uid="{00000000-0005-0000-0000-000013510000}"/>
    <cellStyle name="Output 2 2 5 5 2 3" xfId="18741" xr:uid="{00000000-0005-0000-0000-000014510000}"/>
    <cellStyle name="Output 2 2 5 5 3" xfId="12999" xr:uid="{00000000-0005-0000-0000-000015510000}"/>
    <cellStyle name="Output 2 2 5 5 3 2" xfId="27831" xr:uid="{00000000-0005-0000-0000-000016510000}"/>
    <cellStyle name="Output 2 2 5 5 4" xfId="10365" xr:uid="{00000000-0005-0000-0000-000017510000}"/>
    <cellStyle name="Output 2 2 5 5 4 2" xfId="25197" xr:uid="{00000000-0005-0000-0000-000018510000}"/>
    <cellStyle name="Output 2 2 5 6" xfId="5773" xr:uid="{00000000-0005-0000-0000-000019510000}"/>
    <cellStyle name="Output 2 2 5 6 2" xfId="16007" xr:uid="{00000000-0005-0000-0000-00001A510000}"/>
    <cellStyle name="Output 2 2 5 6 2 2" xfId="30839" xr:uid="{00000000-0005-0000-0000-00001B510000}"/>
    <cellStyle name="Output 2 2 5 6 3" xfId="18382" xr:uid="{00000000-0005-0000-0000-00001C510000}"/>
    <cellStyle name="Output 2 2 5 7" xfId="12027" xr:uid="{00000000-0005-0000-0000-00001D510000}"/>
    <cellStyle name="Output 2 2 5 7 2" xfId="26859" xr:uid="{00000000-0005-0000-0000-00001E510000}"/>
    <cellStyle name="Output 2 2 5 8" xfId="9687" xr:uid="{00000000-0005-0000-0000-00001F510000}"/>
    <cellStyle name="Output 2 2 5 8 2" xfId="19987" xr:uid="{00000000-0005-0000-0000-000020510000}"/>
    <cellStyle name="Output 2 2 6" xfId="1777" xr:uid="{00000000-0005-0000-0000-000021510000}"/>
    <cellStyle name="Output 2 2 6 2" xfId="4110" xr:uid="{00000000-0005-0000-0000-000022510000}"/>
    <cellStyle name="Output 2 2 6 2 2" xfId="8156" xr:uid="{00000000-0005-0000-0000-000023510000}"/>
    <cellStyle name="Output 2 2 6 2 2 2" xfId="17525" xr:uid="{00000000-0005-0000-0000-000024510000}"/>
    <cellStyle name="Output 2 2 6 2 2 2 2" xfId="32357" xr:uid="{00000000-0005-0000-0000-000025510000}"/>
    <cellStyle name="Output 2 2 6 2 2 3" xfId="19271" xr:uid="{00000000-0005-0000-0000-000026510000}"/>
    <cellStyle name="Output 2 2 6 2 3" xfId="14442" xr:uid="{00000000-0005-0000-0000-000027510000}"/>
    <cellStyle name="Output 2 2 6 2 3 2" xfId="29274" xr:uid="{00000000-0005-0000-0000-000028510000}"/>
    <cellStyle name="Output 2 2 6 2 4" xfId="11142" xr:uid="{00000000-0005-0000-0000-000029510000}"/>
    <cellStyle name="Output 2 2 6 2 4 2" xfId="25974" xr:uid="{00000000-0005-0000-0000-00002A510000}"/>
    <cellStyle name="Output 2 2 6 3" xfId="4755" xr:uid="{00000000-0005-0000-0000-00002B510000}"/>
    <cellStyle name="Output 2 2 6 3 2" xfId="8794" xr:uid="{00000000-0005-0000-0000-00002C510000}"/>
    <cellStyle name="Output 2 2 6 3 2 2" xfId="17866" xr:uid="{00000000-0005-0000-0000-00002D510000}"/>
    <cellStyle name="Output 2 2 6 3 2 2 2" xfId="32698" xr:uid="{00000000-0005-0000-0000-00002E510000}"/>
    <cellStyle name="Output 2 2 6 3 2 3" xfId="19483" xr:uid="{00000000-0005-0000-0000-00002F510000}"/>
    <cellStyle name="Output 2 2 6 3 3" xfId="15079" xr:uid="{00000000-0005-0000-0000-000030510000}"/>
    <cellStyle name="Output 2 2 6 3 3 2" xfId="29911" xr:uid="{00000000-0005-0000-0000-000031510000}"/>
    <cellStyle name="Output 2 2 6 3 4" xfId="11469" xr:uid="{00000000-0005-0000-0000-000032510000}"/>
    <cellStyle name="Output 2 2 6 3 4 2" xfId="26301" xr:uid="{00000000-0005-0000-0000-000033510000}"/>
    <cellStyle name="Output 2 2 6 4" xfId="2745" xr:uid="{00000000-0005-0000-0000-000034510000}"/>
    <cellStyle name="Output 2 2 6 4 2" xfId="6836" xr:uid="{00000000-0005-0000-0000-000035510000}"/>
    <cellStyle name="Output 2 2 6 4 2 2" xfId="16760" xr:uid="{00000000-0005-0000-0000-000036510000}"/>
    <cellStyle name="Output 2 2 6 4 2 2 2" xfId="31592" xr:uid="{00000000-0005-0000-0000-000037510000}"/>
    <cellStyle name="Output 2 2 6 4 2 3" xfId="18774" xr:uid="{00000000-0005-0000-0000-000038510000}"/>
    <cellStyle name="Output 2 2 6 4 3" xfId="13083" xr:uid="{00000000-0005-0000-0000-000039510000}"/>
    <cellStyle name="Output 2 2 6 4 3 2" xfId="27915" xr:uid="{00000000-0005-0000-0000-00003A510000}"/>
    <cellStyle name="Output 2 2 6 4 4" xfId="10413" xr:uid="{00000000-0005-0000-0000-00003B510000}"/>
    <cellStyle name="Output 2 2 6 4 4 2" xfId="25245" xr:uid="{00000000-0005-0000-0000-00003C510000}"/>
    <cellStyle name="Output 2 2 6 5" xfId="5909" xr:uid="{00000000-0005-0000-0000-00003D510000}"/>
    <cellStyle name="Output 2 2 6 5 2" xfId="16101" xr:uid="{00000000-0005-0000-0000-00003E510000}"/>
    <cellStyle name="Output 2 2 6 5 2 2" xfId="30933" xr:uid="{00000000-0005-0000-0000-00003F510000}"/>
    <cellStyle name="Output 2 2 6 5 3" xfId="18416" xr:uid="{00000000-0005-0000-0000-000040510000}"/>
    <cellStyle name="Output 2 2 6 6" xfId="12171" xr:uid="{00000000-0005-0000-0000-000041510000}"/>
    <cellStyle name="Output 2 2 6 6 2" xfId="27003" xr:uid="{00000000-0005-0000-0000-000042510000}"/>
    <cellStyle name="Output 2 2 6 7" xfId="9767" xr:uid="{00000000-0005-0000-0000-000043510000}"/>
    <cellStyle name="Output 2 2 6 7 2" xfId="24724" xr:uid="{00000000-0005-0000-0000-000044510000}"/>
    <cellStyle name="Output 2 2 7" xfId="2189" xr:uid="{00000000-0005-0000-0000-000045510000}"/>
    <cellStyle name="Output 2 2 7 2" xfId="4280" xr:uid="{00000000-0005-0000-0000-000046510000}"/>
    <cellStyle name="Output 2 2 7 2 2" xfId="8319" xr:uid="{00000000-0005-0000-0000-000047510000}"/>
    <cellStyle name="Output 2 2 7 2 2 2" xfId="17602" xr:uid="{00000000-0005-0000-0000-000048510000}"/>
    <cellStyle name="Output 2 2 7 2 2 2 2" xfId="32434" xr:uid="{00000000-0005-0000-0000-000049510000}"/>
    <cellStyle name="Output 2 2 7 2 2 3" xfId="19319" xr:uid="{00000000-0005-0000-0000-00004A510000}"/>
    <cellStyle name="Output 2 2 7 2 3" xfId="14612" xr:uid="{00000000-0005-0000-0000-00004B510000}"/>
    <cellStyle name="Output 2 2 7 2 3 2" xfId="29444" xr:uid="{00000000-0005-0000-0000-00004C510000}"/>
    <cellStyle name="Output 2 2 7 2 4" xfId="11220" xr:uid="{00000000-0005-0000-0000-00004D510000}"/>
    <cellStyle name="Output 2 2 7 2 4 2" xfId="26052" xr:uid="{00000000-0005-0000-0000-00004E510000}"/>
    <cellStyle name="Output 2 2 7 3" xfId="5157" xr:uid="{00000000-0005-0000-0000-00004F510000}"/>
    <cellStyle name="Output 2 2 7 3 2" xfId="9196" xr:uid="{00000000-0005-0000-0000-000050510000}"/>
    <cellStyle name="Output 2 2 7 3 2 2" xfId="18119" xr:uid="{00000000-0005-0000-0000-000051510000}"/>
    <cellStyle name="Output 2 2 7 3 2 2 2" xfId="32951" xr:uid="{00000000-0005-0000-0000-000052510000}"/>
    <cellStyle name="Output 2 2 7 3 2 3" xfId="19670" xr:uid="{00000000-0005-0000-0000-000053510000}"/>
    <cellStyle name="Output 2 2 7 3 3" xfId="15475" xr:uid="{00000000-0005-0000-0000-000054510000}"/>
    <cellStyle name="Output 2 2 7 3 3 2" xfId="30307" xr:uid="{00000000-0005-0000-0000-000055510000}"/>
    <cellStyle name="Output 2 2 7 3 4" xfId="11716" xr:uid="{00000000-0005-0000-0000-000056510000}"/>
    <cellStyle name="Output 2 2 7 3 4 2" xfId="26548" xr:uid="{00000000-0005-0000-0000-000057510000}"/>
    <cellStyle name="Output 2 2 7 4" xfId="4187" xr:uid="{00000000-0005-0000-0000-000058510000}"/>
    <cellStyle name="Output 2 2 7 4 2" xfId="8228" xr:uid="{00000000-0005-0000-0000-000059510000}"/>
    <cellStyle name="Output 2 2 7 4 2 2" xfId="17575" xr:uid="{00000000-0005-0000-0000-00005A510000}"/>
    <cellStyle name="Output 2 2 7 4 2 2 2" xfId="32407" xr:uid="{00000000-0005-0000-0000-00005B510000}"/>
    <cellStyle name="Output 2 2 7 4 2 3" xfId="19313" xr:uid="{00000000-0005-0000-0000-00005C510000}"/>
    <cellStyle name="Output 2 2 7 4 3" xfId="14519" xr:uid="{00000000-0005-0000-0000-00005D510000}"/>
    <cellStyle name="Output 2 2 7 4 3 2" xfId="29351" xr:uid="{00000000-0005-0000-0000-00005E510000}"/>
    <cellStyle name="Output 2 2 7 4 4" xfId="11195" xr:uid="{00000000-0005-0000-0000-00005F510000}"/>
    <cellStyle name="Output 2 2 7 4 4 2" xfId="26027" xr:uid="{00000000-0005-0000-0000-000060510000}"/>
    <cellStyle name="Output 2 2 7 5" xfId="6303" xr:uid="{00000000-0005-0000-0000-000061510000}"/>
    <cellStyle name="Output 2 2 7 5 2" xfId="16487" xr:uid="{00000000-0005-0000-0000-000062510000}"/>
    <cellStyle name="Output 2 2 7 5 2 2" xfId="31319" xr:uid="{00000000-0005-0000-0000-000063510000}"/>
    <cellStyle name="Output 2 2 7 5 3" xfId="18606" xr:uid="{00000000-0005-0000-0000-000064510000}"/>
    <cellStyle name="Output 2 2 7 6" xfId="12557" xr:uid="{00000000-0005-0000-0000-000065510000}"/>
    <cellStyle name="Output 2 2 7 6 2" xfId="27389" xr:uid="{00000000-0005-0000-0000-000066510000}"/>
    <cellStyle name="Output 2 2 7 7" xfId="10139" xr:uid="{00000000-0005-0000-0000-000067510000}"/>
    <cellStyle name="Output 2 2 7 7 2" xfId="24971" xr:uid="{00000000-0005-0000-0000-000068510000}"/>
    <cellStyle name="Output 2 2 8" xfId="3317" xr:uid="{00000000-0005-0000-0000-000069510000}"/>
    <cellStyle name="Output 2 2 8 2" xfId="7380" xr:uid="{00000000-0005-0000-0000-00006A510000}"/>
    <cellStyle name="Output 2 2 8 2 2" xfId="17114" xr:uid="{00000000-0005-0000-0000-00006B510000}"/>
    <cellStyle name="Output 2 2 8 2 2 2" xfId="31946" xr:uid="{00000000-0005-0000-0000-00006C510000}"/>
    <cellStyle name="Output 2 2 8 2 3" xfId="18995" xr:uid="{00000000-0005-0000-0000-00006D510000}"/>
    <cellStyle name="Output 2 2 8 3" xfId="13654" xr:uid="{00000000-0005-0000-0000-00006E510000}"/>
    <cellStyle name="Output 2 2 8 3 2" xfId="28486" xr:uid="{00000000-0005-0000-0000-00006F510000}"/>
    <cellStyle name="Output 2 2 8 4" xfId="10736" xr:uid="{00000000-0005-0000-0000-000070510000}"/>
    <cellStyle name="Output 2 2 8 4 2" xfId="25568" xr:uid="{00000000-0005-0000-0000-000071510000}"/>
    <cellStyle name="Output 2 2 9" xfId="3987" xr:uid="{00000000-0005-0000-0000-000072510000}"/>
    <cellStyle name="Output 2 2 9 2" xfId="8035" xr:uid="{00000000-0005-0000-0000-000073510000}"/>
    <cellStyle name="Output 2 2 9 2 2" xfId="17459" xr:uid="{00000000-0005-0000-0000-000074510000}"/>
    <cellStyle name="Output 2 2 9 2 2 2" xfId="32291" xr:uid="{00000000-0005-0000-0000-000075510000}"/>
    <cellStyle name="Output 2 2 9 2 3" xfId="19222" xr:uid="{00000000-0005-0000-0000-000076510000}"/>
    <cellStyle name="Output 2 2 9 3" xfId="14320" xr:uid="{00000000-0005-0000-0000-000077510000}"/>
    <cellStyle name="Output 2 2 9 3 2" xfId="29152" xr:uid="{00000000-0005-0000-0000-000078510000}"/>
    <cellStyle name="Output 2 2 9 4" xfId="11076" xr:uid="{00000000-0005-0000-0000-000079510000}"/>
    <cellStyle name="Output 2 2 9 4 2" xfId="25908" xr:uid="{00000000-0005-0000-0000-00007A510000}"/>
    <cellStyle name="Output 2 20" xfId="9353" xr:uid="{00000000-0005-0000-0000-00007B510000}"/>
    <cellStyle name="Output 2 20 2" xfId="24659" xr:uid="{00000000-0005-0000-0000-00007C510000}"/>
    <cellStyle name="Output 2 21" xfId="5342" xr:uid="{00000000-0005-0000-0000-00007D510000}"/>
    <cellStyle name="Output 2 21 2" xfId="18216" xr:uid="{00000000-0005-0000-0000-00007E510000}"/>
    <cellStyle name="Output 2 3" xfId="1233" xr:uid="{00000000-0005-0000-0000-00007F510000}"/>
    <cellStyle name="Output 2 3 10" xfId="2319" xr:uid="{00000000-0005-0000-0000-000080510000}"/>
    <cellStyle name="Output 2 3 10 2" xfId="6431" xr:uid="{00000000-0005-0000-0000-000081510000}"/>
    <cellStyle name="Output 2 3 10 2 2" xfId="16524" xr:uid="{00000000-0005-0000-0000-000082510000}"/>
    <cellStyle name="Output 2 3 10 2 2 2" xfId="31356" xr:uid="{00000000-0005-0000-0000-000083510000}"/>
    <cellStyle name="Output 2 3 10 2 3" xfId="18612" xr:uid="{00000000-0005-0000-0000-000084510000}"/>
    <cellStyle name="Output 2 3 10 3" xfId="12659" xr:uid="{00000000-0005-0000-0000-000085510000}"/>
    <cellStyle name="Output 2 3 10 3 2" xfId="27491" xr:uid="{00000000-0005-0000-0000-000086510000}"/>
    <cellStyle name="Output 2 3 10 4" xfId="10175" xr:uid="{00000000-0005-0000-0000-000087510000}"/>
    <cellStyle name="Output 2 3 10 4 2" xfId="25007" xr:uid="{00000000-0005-0000-0000-000088510000}"/>
    <cellStyle name="Output 2 3 11" xfId="5282" xr:uid="{00000000-0005-0000-0000-000089510000}"/>
    <cellStyle name="Output 2 3 11 2" xfId="9290" xr:uid="{00000000-0005-0000-0000-00008A510000}"/>
    <cellStyle name="Output 2 3 11 2 2" xfId="18157" xr:uid="{00000000-0005-0000-0000-00008B510000}"/>
    <cellStyle name="Output 2 3 11 2 2 2" xfId="32989" xr:uid="{00000000-0005-0000-0000-00008C510000}"/>
    <cellStyle name="Output 2 3 11 2 3" xfId="19676" xr:uid="{00000000-0005-0000-0000-00008D510000}"/>
    <cellStyle name="Output 2 3 11 3" xfId="15598" xr:uid="{00000000-0005-0000-0000-00008E510000}"/>
    <cellStyle name="Output 2 3 11 3 2" xfId="30430" xr:uid="{00000000-0005-0000-0000-00008F510000}"/>
    <cellStyle name="Output 2 3 12" xfId="5440" xr:uid="{00000000-0005-0000-0000-000090510000}"/>
    <cellStyle name="Output 2 3 12 2" xfId="15676" xr:uid="{00000000-0005-0000-0000-000091510000}"/>
    <cellStyle name="Output 2 3 12 2 2" xfId="30508" xr:uid="{00000000-0005-0000-0000-000092510000}"/>
    <cellStyle name="Output 2 3 12 3" xfId="18253" xr:uid="{00000000-0005-0000-0000-000093510000}"/>
    <cellStyle name="Output 2 3 13" xfId="9351" xr:uid="{00000000-0005-0000-0000-000094510000}"/>
    <cellStyle name="Output 2 3 13 2" xfId="24657" xr:uid="{00000000-0005-0000-0000-000095510000}"/>
    <cellStyle name="Output 2 3 14" xfId="5340" xr:uid="{00000000-0005-0000-0000-000096510000}"/>
    <cellStyle name="Output 2 3 14 2" xfId="18214" xr:uid="{00000000-0005-0000-0000-000097510000}"/>
    <cellStyle name="Output 2 3 2" xfId="1352" xr:uid="{00000000-0005-0000-0000-000098510000}"/>
    <cellStyle name="Output 2 3 2 2" xfId="1856" xr:uid="{00000000-0005-0000-0000-000099510000}"/>
    <cellStyle name="Output 2 3 2 2 2" xfId="3879" xr:uid="{00000000-0005-0000-0000-00009A510000}"/>
    <cellStyle name="Output 2 3 2 2 2 2" xfId="7930" xr:uid="{00000000-0005-0000-0000-00009B510000}"/>
    <cellStyle name="Output 2 3 2 2 2 2 2" xfId="17407" xr:uid="{00000000-0005-0000-0000-00009C510000}"/>
    <cellStyle name="Output 2 3 2 2 2 2 2 2" xfId="32239" xr:uid="{00000000-0005-0000-0000-00009D510000}"/>
    <cellStyle name="Output 2 3 2 2 2 2 3" xfId="19184" xr:uid="{00000000-0005-0000-0000-00009E510000}"/>
    <cellStyle name="Output 2 3 2 2 2 3" xfId="14214" xr:uid="{00000000-0005-0000-0000-00009F510000}"/>
    <cellStyle name="Output 2 3 2 2 2 3 2" xfId="29046" xr:uid="{00000000-0005-0000-0000-0000A0510000}"/>
    <cellStyle name="Output 2 3 2 2 2 4" xfId="11025" xr:uid="{00000000-0005-0000-0000-0000A1510000}"/>
    <cellStyle name="Output 2 3 2 2 2 4 2" xfId="25857" xr:uid="{00000000-0005-0000-0000-0000A2510000}"/>
    <cellStyle name="Output 2 3 2 2 3" xfId="4834" xr:uid="{00000000-0005-0000-0000-0000A3510000}"/>
    <cellStyle name="Output 2 3 2 2 3 2" xfId="8873" xr:uid="{00000000-0005-0000-0000-0000A4510000}"/>
    <cellStyle name="Output 2 3 2 2 3 2 2" xfId="17914" xr:uid="{00000000-0005-0000-0000-0000A5510000}"/>
    <cellStyle name="Output 2 3 2 2 3 2 2 2" xfId="32746" xr:uid="{00000000-0005-0000-0000-0000A6510000}"/>
    <cellStyle name="Output 2 3 2 2 3 2 3" xfId="19516" xr:uid="{00000000-0005-0000-0000-0000A7510000}"/>
    <cellStyle name="Output 2 3 2 2 3 3" xfId="15158" xr:uid="{00000000-0005-0000-0000-0000A8510000}"/>
    <cellStyle name="Output 2 3 2 2 3 3 2" xfId="29990" xr:uid="{00000000-0005-0000-0000-0000A9510000}"/>
    <cellStyle name="Output 2 3 2 2 3 4" xfId="11517" xr:uid="{00000000-0005-0000-0000-0000AA510000}"/>
    <cellStyle name="Output 2 3 2 2 3 4 2" xfId="26349" xr:uid="{00000000-0005-0000-0000-0000AB510000}"/>
    <cellStyle name="Output 2 3 2 2 4" xfId="2824" xr:uid="{00000000-0005-0000-0000-0000AC510000}"/>
    <cellStyle name="Output 2 3 2 2 4 2" xfId="6915" xr:uid="{00000000-0005-0000-0000-0000AD510000}"/>
    <cellStyle name="Output 2 3 2 2 4 2 2" xfId="16808" xr:uid="{00000000-0005-0000-0000-0000AE510000}"/>
    <cellStyle name="Output 2 3 2 2 4 2 2 2" xfId="31640" xr:uid="{00000000-0005-0000-0000-0000AF510000}"/>
    <cellStyle name="Output 2 3 2 2 4 2 3" xfId="18807" xr:uid="{00000000-0005-0000-0000-0000B0510000}"/>
    <cellStyle name="Output 2 3 2 2 4 3" xfId="13162" xr:uid="{00000000-0005-0000-0000-0000B1510000}"/>
    <cellStyle name="Output 2 3 2 2 4 3 2" xfId="27994" xr:uid="{00000000-0005-0000-0000-0000B2510000}"/>
    <cellStyle name="Output 2 3 2 2 4 4" xfId="10461" xr:uid="{00000000-0005-0000-0000-0000B3510000}"/>
    <cellStyle name="Output 2 3 2 2 4 4 2" xfId="25293" xr:uid="{00000000-0005-0000-0000-0000B4510000}"/>
    <cellStyle name="Output 2 3 2 2 5" xfId="5988" xr:uid="{00000000-0005-0000-0000-0000B5510000}"/>
    <cellStyle name="Output 2 3 2 2 5 2" xfId="16180" xr:uid="{00000000-0005-0000-0000-0000B6510000}"/>
    <cellStyle name="Output 2 3 2 2 5 2 2" xfId="31012" xr:uid="{00000000-0005-0000-0000-0000B7510000}"/>
    <cellStyle name="Output 2 3 2 2 5 3" xfId="18449" xr:uid="{00000000-0005-0000-0000-0000B8510000}"/>
    <cellStyle name="Output 2 3 2 2 6" xfId="12250" xr:uid="{00000000-0005-0000-0000-0000B9510000}"/>
    <cellStyle name="Output 2 3 2 2 6 2" xfId="27082" xr:uid="{00000000-0005-0000-0000-0000BA510000}"/>
    <cellStyle name="Output 2 3 2 2 7" xfId="9846" xr:uid="{00000000-0005-0000-0000-0000BB510000}"/>
    <cellStyle name="Output 2 3 2 2 7 2" xfId="24772" xr:uid="{00000000-0005-0000-0000-0000BC510000}"/>
    <cellStyle name="Output 2 3 2 3" xfId="3850" xr:uid="{00000000-0005-0000-0000-0000BD510000}"/>
    <cellStyle name="Output 2 3 2 3 2" xfId="7903" xr:uid="{00000000-0005-0000-0000-0000BE510000}"/>
    <cellStyle name="Output 2 3 2 3 2 2" xfId="17394" xr:uid="{00000000-0005-0000-0000-0000BF510000}"/>
    <cellStyle name="Output 2 3 2 3 2 2 2" xfId="32226" xr:uid="{00000000-0005-0000-0000-0000C0510000}"/>
    <cellStyle name="Output 2 3 2 3 2 3" xfId="19174" xr:uid="{00000000-0005-0000-0000-0000C1510000}"/>
    <cellStyle name="Output 2 3 2 3 3" xfId="14185" xr:uid="{00000000-0005-0000-0000-0000C2510000}"/>
    <cellStyle name="Output 2 3 2 3 3 2" xfId="29017" xr:uid="{00000000-0005-0000-0000-0000C3510000}"/>
    <cellStyle name="Output 2 3 2 3 4" xfId="11013" xr:uid="{00000000-0005-0000-0000-0000C4510000}"/>
    <cellStyle name="Output 2 3 2 3 4 2" xfId="25845" xr:uid="{00000000-0005-0000-0000-0000C5510000}"/>
    <cellStyle name="Output 2 3 2 4" xfId="4414" xr:uid="{00000000-0005-0000-0000-0000C6510000}"/>
    <cellStyle name="Output 2 3 2 4 2" xfId="8453" xr:uid="{00000000-0005-0000-0000-0000C7510000}"/>
    <cellStyle name="Output 2 3 2 4 2 2" xfId="17674" xr:uid="{00000000-0005-0000-0000-0000C8510000}"/>
    <cellStyle name="Output 2 3 2 4 2 2 2" xfId="32506" xr:uid="{00000000-0005-0000-0000-0000C9510000}"/>
    <cellStyle name="Output 2 3 2 4 2 3" xfId="19356" xr:uid="{00000000-0005-0000-0000-0000CA510000}"/>
    <cellStyle name="Output 2 3 2 4 3" xfId="14743" xr:uid="{00000000-0005-0000-0000-0000CB510000}"/>
    <cellStyle name="Output 2 3 2 4 3 2" xfId="29575" xr:uid="{00000000-0005-0000-0000-0000CC510000}"/>
    <cellStyle name="Output 2 3 2 4 4" xfId="11282" xr:uid="{00000000-0005-0000-0000-0000CD510000}"/>
    <cellStyle name="Output 2 3 2 4 4 2" xfId="26114" xr:uid="{00000000-0005-0000-0000-0000CE510000}"/>
    <cellStyle name="Output 2 3 2 5" xfId="2404" xr:uid="{00000000-0005-0000-0000-0000CF510000}"/>
    <cellStyle name="Output 2 3 2 5 2" xfId="6516" xr:uid="{00000000-0005-0000-0000-0000D0510000}"/>
    <cellStyle name="Output 2 3 2 5 2 2" xfId="16572" xr:uid="{00000000-0005-0000-0000-0000D1510000}"/>
    <cellStyle name="Output 2 3 2 5 2 2 2" xfId="31404" xr:uid="{00000000-0005-0000-0000-0000D2510000}"/>
    <cellStyle name="Output 2 3 2 5 2 3" xfId="18644" xr:uid="{00000000-0005-0000-0000-0000D3510000}"/>
    <cellStyle name="Output 2 3 2 5 3" xfId="12743" xr:uid="{00000000-0005-0000-0000-0000D4510000}"/>
    <cellStyle name="Output 2 3 2 5 3 2" xfId="27575" xr:uid="{00000000-0005-0000-0000-0000D5510000}"/>
    <cellStyle name="Output 2 3 2 5 4" xfId="10222" xr:uid="{00000000-0005-0000-0000-0000D6510000}"/>
    <cellStyle name="Output 2 3 2 5 4 2" xfId="25054" xr:uid="{00000000-0005-0000-0000-0000D7510000}"/>
    <cellStyle name="Output 2 3 2 6" xfId="5529" xr:uid="{00000000-0005-0000-0000-0000D8510000}"/>
    <cellStyle name="Output 2 3 2 6 2" xfId="15764" xr:uid="{00000000-0005-0000-0000-0000D9510000}"/>
    <cellStyle name="Output 2 3 2 6 2 2" xfId="30596" xr:uid="{00000000-0005-0000-0000-0000DA510000}"/>
    <cellStyle name="Output 2 3 2 6 3" xfId="18286" xr:uid="{00000000-0005-0000-0000-0000DB510000}"/>
    <cellStyle name="Output 2 3 2 7" xfId="11779" xr:uid="{00000000-0005-0000-0000-0000DC510000}"/>
    <cellStyle name="Output 2 3 2 7 2" xfId="26611" xr:uid="{00000000-0005-0000-0000-0000DD510000}"/>
    <cellStyle name="Output 2 3 2 8" xfId="9450" xr:uid="{00000000-0005-0000-0000-0000DE510000}"/>
    <cellStyle name="Output 2 3 2 8 2" xfId="19754" xr:uid="{00000000-0005-0000-0000-0000DF510000}"/>
    <cellStyle name="Output 2 3 3" xfId="1522" xr:uid="{00000000-0005-0000-0000-0000E0510000}"/>
    <cellStyle name="Output 2 3 3 2" xfId="2019" xr:uid="{00000000-0005-0000-0000-0000E1510000}"/>
    <cellStyle name="Output 2 3 3 2 2" xfId="4108" xr:uid="{00000000-0005-0000-0000-0000E2510000}"/>
    <cellStyle name="Output 2 3 3 2 2 2" xfId="8154" xr:uid="{00000000-0005-0000-0000-0000E3510000}"/>
    <cellStyle name="Output 2 3 3 2 2 2 2" xfId="17524" xr:uid="{00000000-0005-0000-0000-0000E4510000}"/>
    <cellStyle name="Output 2 3 3 2 2 2 2 2" xfId="32356" xr:uid="{00000000-0005-0000-0000-0000E5510000}"/>
    <cellStyle name="Output 2 3 3 2 2 2 3" xfId="19270" xr:uid="{00000000-0005-0000-0000-0000E6510000}"/>
    <cellStyle name="Output 2 3 3 2 2 3" xfId="14440" xr:uid="{00000000-0005-0000-0000-0000E7510000}"/>
    <cellStyle name="Output 2 3 3 2 2 3 2" xfId="29272" xr:uid="{00000000-0005-0000-0000-0000E8510000}"/>
    <cellStyle name="Output 2 3 3 2 2 4" xfId="11141" xr:uid="{00000000-0005-0000-0000-0000E9510000}"/>
    <cellStyle name="Output 2 3 3 2 2 4 2" xfId="25973" xr:uid="{00000000-0005-0000-0000-0000EA510000}"/>
    <cellStyle name="Output 2 3 3 2 3" xfId="4987" xr:uid="{00000000-0005-0000-0000-0000EB510000}"/>
    <cellStyle name="Output 2 3 3 2 3 2" xfId="9026" xr:uid="{00000000-0005-0000-0000-0000EC510000}"/>
    <cellStyle name="Output 2 3 3 2 3 2 2" xfId="17964" xr:uid="{00000000-0005-0000-0000-0000ED510000}"/>
    <cellStyle name="Output 2 3 3 2 3 2 2 2" xfId="32796" xr:uid="{00000000-0005-0000-0000-0000EE510000}"/>
    <cellStyle name="Output 2 3 3 2 3 2 3" xfId="19548" xr:uid="{00000000-0005-0000-0000-0000EF510000}"/>
    <cellStyle name="Output 2 3 3 2 3 3" xfId="15309" xr:uid="{00000000-0005-0000-0000-0000F0510000}"/>
    <cellStyle name="Output 2 3 3 2 3 3 2" xfId="30141" xr:uid="{00000000-0005-0000-0000-0000F1510000}"/>
    <cellStyle name="Output 2 3 3 2 3 4" xfId="11565" xr:uid="{00000000-0005-0000-0000-0000F2510000}"/>
    <cellStyle name="Output 2 3 3 2 3 4 2" xfId="26397" xr:uid="{00000000-0005-0000-0000-0000F3510000}"/>
    <cellStyle name="Output 2 3 3 2 4" xfId="2977" xr:uid="{00000000-0005-0000-0000-0000F4510000}"/>
    <cellStyle name="Output 2 3 3 2 4 2" xfId="7057" xr:uid="{00000000-0005-0000-0000-0000F5510000}"/>
    <cellStyle name="Output 2 3 3 2 4 2 2" xfId="16856" xr:uid="{00000000-0005-0000-0000-0000F6510000}"/>
    <cellStyle name="Output 2 3 3 2 4 2 2 2" xfId="31688" xr:uid="{00000000-0005-0000-0000-0000F7510000}"/>
    <cellStyle name="Output 2 3 3 2 4 2 3" xfId="18840" xr:uid="{00000000-0005-0000-0000-0000F8510000}"/>
    <cellStyle name="Output 2 3 3 2 4 3" xfId="13315" xr:uid="{00000000-0005-0000-0000-0000F9510000}"/>
    <cellStyle name="Output 2 3 3 2 4 3 2" xfId="28147" xr:uid="{00000000-0005-0000-0000-0000FA510000}"/>
    <cellStyle name="Output 2 3 3 2 4 4" xfId="10511" xr:uid="{00000000-0005-0000-0000-0000FB510000}"/>
    <cellStyle name="Output 2 3 3 2 4 4 2" xfId="25343" xr:uid="{00000000-0005-0000-0000-0000FC510000}"/>
    <cellStyle name="Output 2 3 3 2 5" xfId="6149" xr:uid="{00000000-0005-0000-0000-0000FD510000}"/>
    <cellStyle name="Output 2 3 3 2 5 2" xfId="16336" xr:uid="{00000000-0005-0000-0000-0000FE510000}"/>
    <cellStyle name="Output 2 3 3 2 5 2 2" xfId="31168" xr:uid="{00000000-0005-0000-0000-0000FF510000}"/>
    <cellStyle name="Output 2 3 3 2 5 3" xfId="18481" xr:uid="{00000000-0005-0000-0000-000000520000}"/>
    <cellStyle name="Output 2 3 3 2 6" xfId="12406" xr:uid="{00000000-0005-0000-0000-000001520000}"/>
    <cellStyle name="Output 2 3 3 2 6 2" xfId="27238" xr:uid="{00000000-0005-0000-0000-000002520000}"/>
    <cellStyle name="Output 2 3 3 2 7" xfId="9988" xr:uid="{00000000-0005-0000-0000-000003520000}"/>
    <cellStyle name="Output 2 3 3 2 7 2" xfId="24820" xr:uid="{00000000-0005-0000-0000-000004520000}"/>
    <cellStyle name="Output 2 3 3 3" xfId="3154" xr:uid="{00000000-0005-0000-0000-000005520000}"/>
    <cellStyle name="Output 2 3 3 3 2" xfId="7218" xr:uid="{00000000-0005-0000-0000-000006520000}"/>
    <cellStyle name="Output 2 3 3 3 2 2" xfId="16996" xr:uid="{00000000-0005-0000-0000-000007520000}"/>
    <cellStyle name="Output 2 3 3 3 2 2 2" xfId="31828" xr:uid="{00000000-0005-0000-0000-000008520000}"/>
    <cellStyle name="Output 2 3 3 3 2 3" xfId="18943" xr:uid="{00000000-0005-0000-0000-000009520000}"/>
    <cellStyle name="Output 2 3 3 3 3" xfId="13492" xr:uid="{00000000-0005-0000-0000-00000A520000}"/>
    <cellStyle name="Output 2 3 3 3 3 2" xfId="28324" xr:uid="{00000000-0005-0000-0000-00000B520000}"/>
    <cellStyle name="Output 2 3 3 3 4" xfId="10648" xr:uid="{00000000-0005-0000-0000-00000C520000}"/>
    <cellStyle name="Output 2 3 3 3 4 2" xfId="25480" xr:uid="{00000000-0005-0000-0000-00000D520000}"/>
    <cellStyle name="Output 2 3 3 4" xfId="4567" xr:uid="{00000000-0005-0000-0000-00000E520000}"/>
    <cellStyle name="Output 2 3 3 4 2" xfId="8606" xr:uid="{00000000-0005-0000-0000-00000F520000}"/>
    <cellStyle name="Output 2 3 3 4 2 2" xfId="17724" xr:uid="{00000000-0005-0000-0000-000010520000}"/>
    <cellStyle name="Output 2 3 3 4 2 2 2" xfId="32556" xr:uid="{00000000-0005-0000-0000-000011520000}"/>
    <cellStyle name="Output 2 3 3 4 2 3" xfId="19388" xr:uid="{00000000-0005-0000-0000-000012520000}"/>
    <cellStyle name="Output 2 3 3 4 3" xfId="14894" xr:uid="{00000000-0005-0000-0000-000013520000}"/>
    <cellStyle name="Output 2 3 3 4 3 2" xfId="29726" xr:uid="{00000000-0005-0000-0000-000014520000}"/>
    <cellStyle name="Output 2 3 3 4 4" xfId="11330" xr:uid="{00000000-0005-0000-0000-000015520000}"/>
    <cellStyle name="Output 2 3 3 4 4 2" xfId="26162" xr:uid="{00000000-0005-0000-0000-000016520000}"/>
    <cellStyle name="Output 2 3 3 5" xfId="2557" xr:uid="{00000000-0005-0000-0000-000017520000}"/>
    <cellStyle name="Output 2 3 3 5 2" xfId="6663" xr:uid="{00000000-0005-0000-0000-000018520000}"/>
    <cellStyle name="Output 2 3 3 5 2 2" xfId="16621" xr:uid="{00000000-0005-0000-0000-000019520000}"/>
    <cellStyle name="Output 2 3 3 5 2 2 2" xfId="31453" xr:uid="{00000000-0005-0000-0000-00001A520000}"/>
    <cellStyle name="Output 2 3 3 5 2 3" xfId="18676" xr:uid="{00000000-0005-0000-0000-00001B520000}"/>
    <cellStyle name="Output 2 3 3 5 3" xfId="12895" xr:uid="{00000000-0005-0000-0000-00001C520000}"/>
    <cellStyle name="Output 2 3 3 5 3 2" xfId="27727" xr:uid="{00000000-0005-0000-0000-00001D520000}"/>
    <cellStyle name="Output 2 3 3 5 4" xfId="10271" xr:uid="{00000000-0005-0000-0000-00001E520000}"/>
    <cellStyle name="Output 2 3 3 5 4 2" xfId="25103" xr:uid="{00000000-0005-0000-0000-00001F520000}"/>
    <cellStyle name="Output 2 3 3 6" xfId="5680" xr:uid="{00000000-0005-0000-0000-000020520000}"/>
    <cellStyle name="Output 2 3 3 6 2" xfId="15915" xr:uid="{00000000-0005-0000-0000-000021520000}"/>
    <cellStyle name="Output 2 3 3 6 2 2" xfId="30747" xr:uid="{00000000-0005-0000-0000-000022520000}"/>
    <cellStyle name="Output 2 3 3 6 3" xfId="18318" xr:uid="{00000000-0005-0000-0000-000023520000}"/>
    <cellStyle name="Output 2 3 3 7" xfId="11935" xr:uid="{00000000-0005-0000-0000-000024520000}"/>
    <cellStyle name="Output 2 3 3 7 2" xfId="26767" xr:uid="{00000000-0005-0000-0000-000025520000}"/>
    <cellStyle name="Output 2 3 3 8" xfId="9593" xr:uid="{00000000-0005-0000-0000-000026520000}"/>
    <cellStyle name="Output 2 3 3 8 2" xfId="19895" xr:uid="{00000000-0005-0000-0000-000027520000}"/>
    <cellStyle name="Output 2 3 4" xfId="1577" xr:uid="{00000000-0005-0000-0000-000028520000}"/>
    <cellStyle name="Output 2 3 4 2" xfId="2074" xr:uid="{00000000-0005-0000-0000-000029520000}"/>
    <cellStyle name="Output 2 3 4 2 2" xfId="3952" xr:uid="{00000000-0005-0000-0000-00002A520000}"/>
    <cellStyle name="Output 2 3 4 2 2 2" xfId="8002" xr:uid="{00000000-0005-0000-0000-00002B520000}"/>
    <cellStyle name="Output 2 3 4 2 2 2 2" xfId="17444" xr:uid="{00000000-0005-0000-0000-00002C520000}"/>
    <cellStyle name="Output 2 3 4 2 2 2 2 2" xfId="32276" xr:uid="{00000000-0005-0000-0000-00002D520000}"/>
    <cellStyle name="Output 2 3 4 2 2 2 3" xfId="19211" xr:uid="{00000000-0005-0000-0000-00002E520000}"/>
    <cellStyle name="Output 2 3 4 2 2 3" xfId="14285" xr:uid="{00000000-0005-0000-0000-00002F520000}"/>
    <cellStyle name="Output 2 3 4 2 2 3 2" xfId="29117" xr:uid="{00000000-0005-0000-0000-000030520000}"/>
    <cellStyle name="Output 2 3 4 2 2 4" xfId="11059" xr:uid="{00000000-0005-0000-0000-000031520000}"/>
    <cellStyle name="Output 2 3 4 2 2 4 2" xfId="25891" xr:uid="{00000000-0005-0000-0000-000032520000}"/>
    <cellStyle name="Output 2 3 4 2 3" xfId="5042" xr:uid="{00000000-0005-0000-0000-000033520000}"/>
    <cellStyle name="Output 2 3 4 2 3 2" xfId="9081" xr:uid="{00000000-0005-0000-0000-000034520000}"/>
    <cellStyle name="Output 2 3 4 2 3 2 2" xfId="18014" xr:uid="{00000000-0005-0000-0000-000035520000}"/>
    <cellStyle name="Output 2 3 4 2 3 2 2 2" xfId="32846" xr:uid="{00000000-0005-0000-0000-000036520000}"/>
    <cellStyle name="Output 2 3 4 2 3 2 3" xfId="19580" xr:uid="{00000000-0005-0000-0000-000037520000}"/>
    <cellStyle name="Output 2 3 4 2 3 3" xfId="15363" xr:uid="{00000000-0005-0000-0000-000038520000}"/>
    <cellStyle name="Output 2 3 4 2 3 3 2" xfId="30195" xr:uid="{00000000-0005-0000-0000-000039520000}"/>
    <cellStyle name="Output 2 3 4 2 3 4" xfId="11614" xr:uid="{00000000-0005-0000-0000-00003A520000}"/>
    <cellStyle name="Output 2 3 4 2 3 4 2" xfId="26446" xr:uid="{00000000-0005-0000-0000-00003B520000}"/>
    <cellStyle name="Output 2 3 4 2 4" xfId="3032" xr:uid="{00000000-0005-0000-0000-00003C520000}"/>
    <cellStyle name="Output 2 3 4 2 4 2" xfId="7107" xr:uid="{00000000-0005-0000-0000-00003D520000}"/>
    <cellStyle name="Output 2 3 4 2 4 2 2" xfId="16905" xr:uid="{00000000-0005-0000-0000-00003E520000}"/>
    <cellStyle name="Output 2 3 4 2 4 2 2 2" xfId="31737" xr:uid="{00000000-0005-0000-0000-00003F520000}"/>
    <cellStyle name="Output 2 3 4 2 4 2 3" xfId="18873" xr:uid="{00000000-0005-0000-0000-000040520000}"/>
    <cellStyle name="Output 2 3 4 2 4 3" xfId="13370" xr:uid="{00000000-0005-0000-0000-000041520000}"/>
    <cellStyle name="Output 2 3 4 2 4 3 2" xfId="28202" xr:uid="{00000000-0005-0000-0000-000042520000}"/>
    <cellStyle name="Output 2 3 4 2 4 4" xfId="10561" xr:uid="{00000000-0005-0000-0000-000043520000}"/>
    <cellStyle name="Output 2 3 4 2 4 4 2" xfId="25393" xr:uid="{00000000-0005-0000-0000-000044520000}"/>
    <cellStyle name="Output 2 3 4 2 5" xfId="6199" xr:uid="{00000000-0005-0000-0000-000045520000}"/>
    <cellStyle name="Output 2 3 4 2 5 2" xfId="16385" xr:uid="{00000000-0005-0000-0000-000046520000}"/>
    <cellStyle name="Output 2 3 4 2 5 2 2" xfId="31217" xr:uid="{00000000-0005-0000-0000-000047520000}"/>
    <cellStyle name="Output 2 3 4 2 5 3" xfId="18514" xr:uid="{00000000-0005-0000-0000-000048520000}"/>
    <cellStyle name="Output 2 3 4 2 6" xfId="12455" xr:uid="{00000000-0005-0000-0000-000049520000}"/>
    <cellStyle name="Output 2 3 4 2 6 2" xfId="27287" xr:uid="{00000000-0005-0000-0000-00004A520000}"/>
    <cellStyle name="Output 2 3 4 2 7" xfId="10037" xr:uid="{00000000-0005-0000-0000-00004B520000}"/>
    <cellStyle name="Output 2 3 4 2 7 2" xfId="24869" xr:uid="{00000000-0005-0000-0000-00004C520000}"/>
    <cellStyle name="Output 2 3 4 3" xfId="3995" xr:uid="{00000000-0005-0000-0000-00004D520000}"/>
    <cellStyle name="Output 2 3 4 3 2" xfId="8042" xr:uid="{00000000-0005-0000-0000-00004E520000}"/>
    <cellStyle name="Output 2 3 4 3 2 2" xfId="17463" xr:uid="{00000000-0005-0000-0000-00004F520000}"/>
    <cellStyle name="Output 2 3 4 3 2 2 2" xfId="32295" xr:uid="{00000000-0005-0000-0000-000050520000}"/>
    <cellStyle name="Output 2 3 4 3 2 3" xfId="19226" xr:uid="{00000000-0005-0000-0000-000051520000}"/>
    <cellStyle name="Output 2 3 4 3 3" xfId="14328" xr:uid="{00000000-0005-0000-0000-000052520000}"/>
    <cellStyle name="Output 2 3 4 3 3 2" xfId="29160" xr:uid="{00000000-0005-0000-0000-000053520000}"/>
    <cellStyle name="Output 2 3 4 3 4" xfId="11081" xr:uid="{00000000-0005-0000-0000-000054520000}"/>
    <cellStyle name="Output 2 3 4 3 4 2" xfId="25913" xr:uid="{00000000-0005-0000-0000-000055520000}"/>
    <cellStyle name="Output 2 3 4 4" xfId="4622" xr:uid="{00000000-0005-0000-0000-000056520000}"/>
    <cellStyle name="Output 2 3 4 4 2" xfId="8661" xr:uid="{00000000-0005-0000-0000-000057520000}"/>
    <cellStyle name="Output 2 3 4 4 2 2" xfId="17774" xr:uid="{00000000-0005-0000-0000-000058520000}"/>
    <cellStyle name="Output 2 3 4 4 2 2 2" xfId="32606" xr:uid="{00000000-0005-0000-0000-000059520000}"/>
    <cellStyle name="Output 2 3 4 4 2 3" xfId="19420" xr:uid="{00000000-0005-0000-0000-00005A520000}"/>
    <cellStyle name="Output 2 3 4 4 3" xfId="14948" xr:uid="{00000000-0005-0000-0000-00005B520000}"/>
    <cellStyle name="Output 2 3 4 4 3 2" xfId="29780" xr:uid="{00000000-0005-0000-0000-00005C520000}"/>
    <cellStyle name="Output 2 3 4 4 4" xfId="11379" xr:uid="{00000000-0005-0000-0000-00005D520000}"/>
    <cellStyle name="Output 2 3 4 4 4 2" xfId="26211" xr:uid="{00000000-0005-0000-0000-00005E520000}"/>
    <cellStyle name="Output 2 3 4 5" xfId="2612" xr:uid="{00000000-0005-0000-0000-00005F520000}"/>
    <cellStyle name="Output 2 3 4 5 2" xfId="6713" xr:uid="{00000000-0005-0000-0000-000060520000}"/>
    <cellStyle name="Output 2 3 4 5 2 2" xfId="16670" xr:uid="{00000000-0005-0000-0000-000061520000}"/>
    <cellStyle name="Output 2 3 4 5 2 2 2" xfId="31502" xr:uid="{00000000-0005-0000-0000-000062520000}"/>
    <cellStyle name="Output 2 3 4 5 2 3" xfId="18709" xr:uid="{00000000-0005-0000-0000-000063520000}"/>
    <cellStyle name="Output 2 3 4 5 3" xfId="12950" xr:uid="{00000000-0005-0000-0000-000064520000}"/>
    <cellStyle name="Output 2 3 4 5 3 2" xfId="27782" xr:uid="{00000000-0005-0000-0000-000065520000}"/>
    <cellStyle name="Output 2 3 4 5 4" xfId="10321" xr:uid="{00000000-0005-0000-0000-000066520000}"/>
    <cellStyle name="Output 2 3 4 5 4 2" xfId="25153" xr:uid="{00000000-0005-0000-0000-000067520000}"/>
    <cellStyle name="Output 2 3 4 6" xfId="5729" xr:uid="{00000000-0005-0000-0000-000068520000}"/>
    <cellStyle name="Output 2 3 4 6 2" xfId="15964" xr:uid="{00000000-0005-0000-0000-000069520000}"/>
    <cellStyle name="Output 2 3 4 6 2 2" xfId="30796" xr:uid="{00000000-0005-0000-0000-00006A520000}"/>
    <cellStyle name="Output 2 3 4 6 3" xfId="18350" xr:uid="{00000000-0005-0000-0000-00006B520000}"/>
    <cellStyle name="Output 2 3 4 7" xfId="11984" xr:uid="{00000000-0005-0000-0000-00006C520000}"/>
    <cellStyle name="Output 2 3 4 7 2" xfId="26816" xr:uid="{00000000-0005-0000-0000-00006D520000}"/>
    <cellStyle name="Output 2 3 4 8" xfId="9643" xr:uid="{00000000-0005-0000-0000-00006E520000}"/>
    <cellStyle name="Output 2 3 4 8 2" xfId="19944" xr:uid="{00000000-0005-0000-0000-00006F520000}"/>
    <cellStyle name="Output 2 3 5" xfId="1627" xr:uid="{00000000-0005-0000-0000-000070520000}"/>
    <cellStyle name="Output 2 3 5 2" xfId="2124" xr:uid="{00000000-0005-0000-0000-000071520000}"/>
    <cellStyle name="Output 2 3 5 2 2" xfId="4010" xr:uid="{00000000-0005-0000-0000-000072520000}"/>
    <cellStyle name="Output 2 3 5 2 2 2" xfId="8057" xr:uid="{00000000-0005-0000-0000-000073520000}"/>
    <cellStyle name="Output 2 3 5 2 2 2 2" xfId="17473" xr:uid="{00000000-0005-0000-0000-000074520000}"/>
    <cellStyle name="Output 2 3 5 2 2 2 2 2" xfId="32305" xr:uid="{00000000-0005-0000-0000-000075520000}"/>
    <cellStyle name="Output 2 3 5 2 2 2 3" xfId="19233" xr:uid="{00000000-0005-0000-0000-000076520000}"/>
    <cellStyle name="Output 2 3 5 2 2 3" xfId="14342" xr:uid="{00000000-0005-0000-0000-000077520000}"/>
    <cellStyle name="Output 2 3 5 2 2 3 2" xfId="29174" xr:uid="{00000000-0005-0000-0000-000078520000}"/>
    <cellStyle name="Output 2 3 5 2 2 4" xfId="11090" xr:uid="{00000000-0005-0000-0000-000079520000}"/>
    <cellStyle name="Output 2 3 5 2 2 4 2" xfId="25922" xr:uid="{00000000-0005-0000-0000-00007A520000}"/>
    <cellStyle name="Output 2 3 5 2 3" xfId="5092" xr:uid="{00000000-0005-0000-0000-00007B520000}"/>
    <cellStyle name="Output 2 3 5 2 3 2" xfId="9131" xr:uid="{00000000-0005-0000-0000-00007C520000}"/>
    <cellStyle name="Output 2 3 5 2 3 2 2" xfId="18059" xr:uid="{00000000-0005-0000-0000-00007D520000}"/>
    <cellStyle name="Output 2 3 5 2 3 2 2 2" xfId="32891" xr:uid="{00000000-0005-0000-0000-00007E520000}"/>
    <cellStyle name="Output 2 3 5 2 3 2 3" xfId="19612" xr:uid="{00000000-0005-0000-0000-00007F520000}"/>
    <cellStyle name="Output 2 3 5 2 3 3" xfId="15412" xr:uid="{00000000-0005-0000-0000-000080520000}"/>
    <cellStyle name="Output 2 3 5 2 3 3 2" xfId="30244" xr:uid="{00000000-0005-0000-0000-000081520000}"/>
    <cellStyle name="Output 2 3 5 2 3 4" xfId="11658" xr:uid="{00000000-0005-0000-0000-000082520000}"/>
    <cellStyle name="Output 2 3 5 2 3 4 2" xfId="26490" xr:uid="{00000000-0005-0000-0000-000083520000}"/>
    <cellStyle name="Output 2 3 5 2 4" xfId="3082" xr:uid="{00000000-0005-0000-0000-000084520000}"/>
    <cellStyle name="Output 2 3 5 2 4 2" xfId="7152" xr:uid="{00000000-0005-0000-0000-000085520000}"/>
    <cellStyle name="Output 2 3 5 2 4 2 2" xfId="16949" xr:uid="{00000000-0005-0000-0000-000086520000}"/>
    <cellStyle name="Output 2 3 5 2 4 2 2 2" xfId="31781" xr:uid="{00000000-0005-0000-0000-000087520000}"/>
    <cellStyle name="Output 2 3 5 2 4 2 3" xfId="18906" xr:uid="{00000000-0005-0000-0000-000088520000}"/>
    <cellStyle name="Output 2 3 5 2 4 3" xfId="13420" xr:uid="{00000000-0005-0000-0000-000089520000}"/>
    <cellStyle name="Output 2 3 5 2 4 3 2" xfId="28252" xr:uid="{00000000-0005-0000-0000-00008A520000}"/>
    <cellStyle name="Output 2 3 5 2 4 4" xfId="10606" xr:uid="{00000000-0005-0000-0000-00008B520000}"/>
    <cellStyle name="Output 2 3 5 2 4 4 2" xfId="25438" xr:uid="{00000000-0005-0000-0000-00008C520000}"/>
    <cellStyle name="Output 2 3 5 2 5" xfId="6244" xr:uid="{00000000-0005-0000-0000-00008D520000}"/>
    <cellStyle name="Output 2 3 5 2 5 2" xfId="16429" xr:uid="{00000000-0005-0000-0000-00008E520000}"/>
    <cellStyle name="Output 2 3 5 2 5 2 2" xfId="31261" xr:uid="{00000000-0005-0000-0000-00008F520000}"/>
    <cellStyle name="Output 2 3 5 2 5 3" xfId="18547" xr:uid="{00000000-0005-0000-0000-000090520000}"/>
    <cellStyle name="Output 2 3 5 2 6" xfId="12499" xr:uid="{00000000-0005-0000-0000-000091520000}"/>
    <cellStyle name="Output 2 3 5 2 6 2" xfId="27331" xr:uid="{00000000-0005-0000-0000-000092520000}"/>
    <cellStyle name="Output 2 3 5 2 7" xfId="10081" xr:uid="{00000000-0005-0000-0000-000093520000}"/>
    <cellStyle name="Output 2 3 5 2 7 2" xfId="24913" xr:uid="{00000000-0005-0000-0000-000094520000}"/>
    <cellStyle name="Output 2 3 5 3" xfId="3996" xr:uid="{00000000-0005-0000-0000-000095520000}"/>
    <cellStyle name="Output 2 3 5 3 2" xfId="8043" xr:uid="{00000000-0005-0000-0000-000096520000}"/>
    <cellStyle name="Output 2 3 5 3 2 2" xfId="17464" xr:uid="{00000000-0005-0000-0000-000097520000}"/>
    <cellStyle name="Output 2 3 5 3 2 2 2" xfId="32296" xr:uid="{00000000-0005-0000-0000-000098520000}"/>
    <cellStyle name="Output 2 3 5 3 2 3" xfId="19227" xr:uid="{00000000-0005-0000-0000-000099520000}"/>
    <cellStyle name="Output 2 3 5 3 3" xfId="14329" xr:uid="{00000000-0005-0000-0000-00009A520000}"/>
    <cellStyle name="Output 2 3 5 3 3 2" xfId="29161" xr:uid="{00000000-0005-0000-0000-00009B520000}"/>
    <cellStyle name="Output 2 3 5 3 4" xfId="11082" xr:uid="{00000000-0005-0000-0000-00009C520000}"/>
    <cellStyle name="Output 2 3 5 3 4 2" xfId="25914" xr:uid="{00000000-0005-0000-0000-00009D520000}"/>
    <cellStyle name="Output 2 3 5 4" xfId="4672" xr:uid="{00000000-0005-0000-0000-00009E520000}"/>
    <cellStyle name="Output 2 3 5 4 2" xfId="8711" xr:uid="{00000000-0005-0000-0000-00009F520000}"/>
    <cellStyle name="Output 2 3 5 4 2 2" xfId="17819" xr:uid="{00000000-0005-0000-0000-0000A0520000}"/>
    <cellStyle name="Output 2 3 5 4 2 2 2" xfId="32651" xr:uid="{00000000-0005-0000-0000-0000A1520000}"/>
    <cellStyle name="Output 2 3 5 4 2 3" xfId="19452" xr:uid="{00000000-0005-0000-0000-0000A2520000}"/>
    <cellStyle name="Output 2 3 5 4 3" xfId="14997" xr:uid="{00000000-0005-0000-0000-0000A3520000}"/>
    <cellStyle name="Output 2 3 5 4 3 2" xfId="29829" xr:uid="{00000000-0005-0000-0000-0000A4520000}"/>
    <cellStyle name="Output 2 3 5 4 4" xfId="11423" xr:uid="{00000000-0005-0000-0000-0000A5520000}"/>
    <cellStyle name="Output 2 3 5 4 4 2" xfId="26255" xr:uid="{00000000-0005-0000-0000-0000A6520000}"/>
    <cellStyle name="Output 2 3 5 5" xfId="2662" xr:uid="{00000000-0005-0000-0000-0000A7520000}"/>
    <cellStyle name="Output 2 3 5 5 2" xfId="6758" xr:uid="{00000000-0005-0000-0000-0000A8520000}"/>
    <cellStyle name="Output 2 3 5 5 2 2" xfId="16714" xr:uid="{00000000-0005-0000-0000-0000A9520000}"/>
    <cellStyle name="Output 2 3 5 5 2 2 2" xfId="31546" xr:uid="{00000000-0005-0000-0000-0000AA520000}"/>
    <cellStyle name="Output 2 3 5 5 2 3" xfId="18742" xr:uid="{00000000-0005-0000-0000-0000AB520000}"/>
    <cellStyle name="Output 2 3 5 5 3" xfId="13000" xr:uid="{00000000-0005-0000-0000-0000AC520000}"/>
    <cellStyle name="Output 2 3 5 5 3 2" xfId="27832" xr:uid="{00000000-0005-0000-0000-0000AD520000}"/>
    <cellStyle name="Output 2 3 5 5 4" xfId="10366" xr:uid="{00000000-0005-0000-0000-0000AE520000}"/>
    <cellStyle name="Output 2 3 5 5 4 2" xfId="25198" xr:uid="{00000000-0005-0000-0000-0000AF520000}"/>
    <cellStyle name="Output 2 3 5 6" xfId="5774" xr:uid="{00000000-0005-0000-0000-0000B0520000}"/>
    <cellStyle name="Output 2 3 5 6 2" xfId="16008" xr:uid="{00000000-0005-0000-0000-0000B1520000}"/>
    <cellStyle name="Output 2 3 5 6 2 2" xfId="30840" xr:uid="{00000000-0005-0000-0000-0000B2520000}"/>
    <cellStyle name="Output 2 3 5 6 3" xfId="18383" xr:uid="{00000000-0005-0000-0000-0000B3520000}"/>
    <cellStyle name="Output 2 3 5 7" xfId="12028" xr:uid="{00000000-0005-0000-0000-0000B4520000}"/>
    <cellStyle name="Output 2 3 5 7 2" xfId="26860" xr:uid="{00000000-0005-0000-0000-0000B5520000}"/>
    <cellStyle name="Output 2 3 5 8" xfId="9688" xr:uid="{00000000-0005-0000-0000-0000B6520000}"/>
    <cellStyle name="Output 2 3 5 8 2" xfId="19988" xr:uid="{00000000-0005-0000-0000-0000B7520000}"/>
    <cellStyle name="Output 2 3 6" xfId="1778" xr:uid="{00000000-0005-0000-0000-0000B8520000}"/>
    <cellStyle name="Output 2 3 6 2" xfId="3374" xr:uid="{00000000-0005-0000-0000-0000B9520000}"/>
    <cellStyle name="Output 2 3 6 2 2" xfId="7437" xr:uid="{00000000-0005-0000-0000-0000BA520000}"/>
    <cellStyle name="Output 2 3 6 2 2 2" xfId="17146" xr:uid="{00000000-0005-0000-0000-0000BB520000}"/>
    <cellStyle name="Output 2 3 6 2 2 2 2" xfId="31978" xr:uid="{00000000-0005-0000-0000-0000BC520000}"/>
    <cellStyle name="Output 2 3 6 2 2 3" xfId="19013" xr:uid="{00000000-0005-0000-0000-0000BD520000}"/>
    <cellStyle name="Output 2 3 6 2 3" xfId="13711" xr:uid="{00000000-0005-0000-0000-0000BE520000}"/>
    <cellStyle name="Output 2 3 6 2 3 2" xfId="28543" xr:uid="{00000000-0005-0000-0000-0000BF520000}"/>
    <cellStyle name="Output 2 3 6 2 4" xfId="10765" xr:uid="{00000000-0005-0000-0000-0000C0520000}"/>
    <cellStyle name="Output 2 3 6 2 4 2" xfId="25597" xr:uid="{00000000-0005-0000-0000-0000C1520000}"/>
    <cellStyle name="Output 2 3 6 3" xfId="4756" xr:uid="{00000000-0005-0000-0000-0000C2520000}"/>
    <cellStyle name="Output 2 3 6 3 2" xfId="8795" xr:uid="{00000000-0005-0000-0000-0000C3520000}"/>
    <cellStyle name="Output 2 3 6 3 2 2" xfId="17867" xr:uid="{00000000-0005-0000-0000-0000C4520000}"/>
    <cellStyle name="Output 2 3 6 3 2 2 2" xfId="32699" xr:uid="{00000000-0005-0000-0000-0000C5520000}"/>
    <cellStyle name="Output 2 3 6 3 2 3" xfId="19484" xr:uid="{00000000-0005-0000-0000-0000C6520000}"/>
    <cellStyle name="Output 2 3 6 3 3" xfId="15080" xr:uid="{00000000-0005-0000-0000-0000C7520000}"/>
    <cellStyle name="Output 2 3 6 3 3 2" xfId="29912" xr:uid="{00000000-0005-0000-0000-0000C8520000}"/>
    <cellStyle name="Output 2 3 6 3 4" xfId="11470" xr:uid="{00000000-0005-0000-0000-0000C9520000}"/>
    <cellStyle name="Output 2 3 6 3 4 2" xfId="26302" xr:uid="{00000000-0005-0000-0000-0000CA520000}"/>
    <cellStyle name="Output 2 3 6 4" xfId="2746" xr:uid="{00000000-0005-0000-0000-0000CB520000}"/>
    <cellStyle name="Output 2 3 6 4 2" xfId="6837" xr:uid="{00000000-0005-0000-0000-0000CC520000}"/>
    <cellStyle name="Output 2 3 6 4 2 2" xfId="16761" xr:uid="{00000000-0005-0000-0000-0000CD520000}"/>
    <cellStyle name="Output 2 3 6 4 2 2 2" xfId="31593" xr:uid="{00000000-0005-0000-0000-0000CE520000}"/>
    <cellStyle name="Output 2 3 6 4 2 3" xfId="18775" xr:uid="{00000000-0005-0000-0000-0000CF520000}"/>
    <cellStyle name="Output 2 3 6 4 3" xfId="13084" xr:uid="{00000000-0005-0000-0000-0000D0520000}"/>
    <cellStyle name="Output 2 3 6 4 3 2" xfId="27916" xr:uid="{00000000-0005-0000-0000-0000D1520000}"/>
    <cellStyle name="Output 2 3 6 4 4" xfId="10414" xr:uid="{00000000-0005-0000-0000-0000D2520000}"/>
    <cellStyle name="Output 2 3 6 4 4 2" xfId="25246" xr:uid="{00000000-0005-0000-0000-0000D3520000}"/>
    <cellStyle name="Output 2 3 6 5" xfId="5910" xr:uid="{00000000-0005-0000-0000-0000D4520000}"/>
    <cellStyle name="Output 2 3 6 5 2" xfId="16102" xr:uid="{00000000-0005-0000-0000-0000D5520000}"/>
    <cellStyle name="Output 2 3 6 5 2 2" xfId="30934" xr:uid="{00000000-0005-0000-0000-0000D6520000}"/>
    <cellStyle name="Output 2 3 6 5 3" xfId="18417" xr:uid="{00000000-0005-0000-0000-0000D7520000}"/>
    <cellStyle name="Output 2 3 6 6" xfId="12172" xr:uid="{00000000-0005-0000-0000-0000D8520000}"/>
    <cellStyle name="Output 2 3 6 6 2" xfId="27004" xr:uid="{00000000-0005-0000-0000-0000D9520000}"/>
    <cellStyle name="Output 2 3 6 7" xfId="9768" xr:uid="{00000000-0005-0000-0000-0000DA520000}"/>
    <cellStyle name="Output 2 3 6 7 2" xfId="24725" xr:uid="{00000000-0005-0000-0000-0000DB520000}"/>
    <cellStyle name="Output 2 3 7" xfId="2188" xr:uid="{00000000-0005-0000-0000-0000DC520000}"/>
    <cellStyle name="Output 2 3 7 2" xfId="3441" xr:uid="{00000000-0005-0000-0000-0000DD520000}"/>
    <cellStyle name="Output 2 3 7 2 2" xfId="7504" xr:uid="{00000000-0005-0000-0000-0000DE520000}"/>
    <cellStyle name="Output 2 3 7 2 2 2" xfId="17191" xr:uid="{00000000-0005-0000-0000-0000DF520000}"/>
    <cellStyle name="Output 2 3 7 2 2 2 2" xfId="32023" xr:uid="{00000000-0005-0000-0000-0000E0520000}"/>
    <cellStyle name="Output 2 3 7 2 2 3" xfId="19037" xr:uid="{00000000-0005-0000-0000-0000E1520000}"/>
    <cellStyle name="Output 2 3 7 2 3" xfId="13778" xr:uid="{00000000-0005-0000-0000-0000E2520000}"/>
    <cellStyle name="Output 2 3 7 2 3 2" xfId="28610" xr:uid="{00000000-0005-0000-0000-0000E3520000}"/>
    <cellStyle name="Output 2 3 7 2 4" xfId="10810" xr:uid="{00000000-0005-0000-0000-0000E4520000}"/>
    <cellStyle name="Output 2 3 7 2 4 2" xfId="25642" xr:uid="{00000000-0005-0000-0000-0000E5520000}"/>
    <cellStyle name="Output 2 3 7 3" xfId="5156" xr:uid="{00000000-0005-0000-0000-0000E6520000}"/>
    <cellStyle name="Output 2 3 7 3 2" xfId="9195" xr:uid="{00000000-0005-0000-0000-0000E7520000}"/>
    <cellStyle name="Output 2 3 7 3 2 2" xfId="18118" xr:uid="{00000000-0005-0000-0000-0000E8520000}"/>
    <cellStyle name="Output 2 3 7 3 2 2 2" xfId="32950" xr:uid="{00000000-0005-0000-0000-0000E9520000}"/>
    <cellStyle name="Output 2 3 7 3 2 3" xfId="19669" xr:uid="{00000000-0005-0000-0000-0000EA520000}"/>
    <cellStyle name="Output 2 3 7 3 3" xfId="15474" xr:uid="{00000000-0005-0000-0000-0000EB520000}"/>
    <cellStyle name="Output 2 3 7 3 3 2" xfId="30306" xr:uid="{00000000-0005-0000-0000-0000EC520000}"/>
    <cellStyle name="Output 2 3 7 3 4" xfId="11715" xr:uid="{00000000-0005-0000-0000-0000ED520000}"/>
    <cellStyle name="Output 2 3 7 3 4 2" xfId="26547" xr:uid="{00000000-0005-0000-0000-0000EE520000}"/>
    <cellStyle name="Output 2 3 7 4" xfId="4186" xr:uid="{00000000-0005-0000-0000-0000EF520000}"/>
    <cellStyle name="Output 2 3 7 4 2" xfId="8227" xr:uid="{00000000-0005-0000-0000-0000F0520000}"/>
    <cellStyle name="Output 2 3 7 4 2 2" xfId="17574" xr:uid="{00000000-0005-0000-0000-0000F1520000}"/>
    <cellStyle name="Output 2 3 7 4 2 2 2" xfId="32406" xr:uid="{00000000-0005-0000-0000-0000F2520000}"/>
    <cellStyle name="Output 2 3 7 4 2 3" xfId="19312" xr:uid="{00000000-0005-0000-0000-0000F3520000}"/>
    <cellStyle name="Output 2 3 7 4 3" xfId="14518" xr:uid="{00000000-0005-0000-0000-0000F4520000}"/>
    <cellStyle name="Output 2 3 7 4 3 2" xfId="29350" xr:uid="{00000000-0005-0000-0000-0000F5520000}"/>
    <cellStyle name="Output 2 3 7 4 4" xfId="11194" xr:uid="{00000000-0005-0000-0000-0000F6520000}"/>
    <cellStyle name="Output 2 3 7 4 4 2" xfId="26026" xr:uid="{00000000-0005-0000-0000-0000F7520000}"/>
    <cellStyle name="Output 2 3 7 5" xfId="6302" xr:uid="{00000000-0005-0000-0000-0000F8520000}"/>
    <cellStyle name="Output 2 3 7 5 2" xfId="16486" xr:uid="{00000000-0005-0000-0000-0000F9520000}"/>
    <cellStyle name="Output 2 3 7 5 2 2" xfId="31318" xr:uid="{00000000-0005-0000-0000-0000FA520000}"/>
    <cellStyle name="Output 2 3 7 5 3" xfId="18605" xr:uid="{00000000-0005-0000-0000-0000FB520000}"/>
    <cellStyle name="Output 2 3 7 6" xfId="12556" xr:uid="{00000000-0005-0000-0000-0000FC520000}"/>
    <cellStyle name="Output 2 3 7 6 2" xfId="27388" xr:uid="{00000000-0005-0000-0000-0000FD520000}"/>
    <cellStyle name="Output 2 3 7 7" xfId="10138" xr:uid="{00000000-0005-0000-0000-0000FE520000}"/>
    <cellStyle name="Output 2 3 7 7 2" xfId="24970" xr:uid="{00000000-0005-0000-0000-0000FF520000}"/>
    <cellStyle name="Output 2 3 8" xfId="3993" xr:uid="{00000000-0005-0000-0000-000000530000}"/>
    <cellStyle name="Output 2 3 8 2" xfId="8040" xr:uid="{00000000-0005-0000-0000-000001530000}"/>
    <cellStyle name="Output 2 3 8 2 2" xfId="17461" xr:uid="{00000000-0005-0000-0000-000002530000}"/>
    <cellStyle name="Output 2 3 8 2 2 2" xfId="32293" xr:uid="{00000000-0005-0000-0000-000003530000}"/>
    <cellStyle name="Output 2 3 8 2 3" xfId="19224" xr:uid="{00000000-0005-0000-0000-000004530000}"/>
    <cellStyle name="Output 2 3 8 3" xfId="14326" xr:uid="{00000000-0005-0000-0000-000005530000}"/>
    <cellStyle name="Output 2 3 8 3 2" xfId="29158" xr:uid="{00000000-0005-0000-0000-000006530000}"/>
    <cellStyle name="Output 2 3 8 4" xfId="11079" xr:uid="{00000000-0005-0000-0000-000007530000}"/>
    <cellStyle name="Output 2 3 8 4 2" xfId="25911" xr:uid="{00000000-0005-0000-0000-000008530000}"/>
    <cellStyle name="Output 2 3 9" xfId="3357" xr:uid="{00000000-0005-0000-0000-000009530000}"/>
    <cellStyle name="Output 2 3 9 2" xfId="7420" xr:uid="{00000000-0005-0000-0000-00000A530000}"/>
    <cellStyle name="Output 2 3 9 2 2" xfId="17140" xr:uid="{00000000-0005-0000-0000-00000B530000}"/>
    <cellStyle name="Output 2 3 9 2 2 2" xfId="31972" xr:uid="{00000000-0005-0000-0000-00000C530000}"/>
    <cellStyle name="Output 2 3 9 2 3" xfId="19009" xr:uid="{00000000-0005-0000-0000-00000D530000}"/>
    <cellStyle name="Output 2 3 9 3" xfId="13694" xr:uid="{00000000-0005-0000-0000-00000E530000}"/>
    <cellStyle name="Output 2 3 9 3 2" xfId="28526" xr:uid="{00000000-0005-0000-0000-00000F530000}"/>
    <cellStyle name="Output 2 3 9 4" xfId="10759" xr:uid="{00000000-0005-0000-0000-000010530000}"/>
    <cellStyle name="Output 2 3 9 4 2" xfId="25591" xr:uid="{00000000-0005-0000-0000-000011530000}"/>
    <cellStyle name="Output 2 4" xfId="1234" xr:uid="{00000000-0005-0000-0000-000012530000}"/>
    <cellStyle name="Output 2 4 10" xfId="2320" xr:uid="{00000000-0005-0000-0000-000013530000}"/>
    <cellStyle name="Output 2 4 10 2" xfId="6432" xr:uid="{00000000-0005-0000-0000-000014530000}"/>
    <cellStyle name="Output 2 4 10 2 2" xfId="16525" xr:uid="{00000000-0005-0000-0000-000015530000}"/>
    <cellStyle name="Output 2 4 10 2 2 2" xfId="31357" xr:uid="{00000000-0005-0000-0000-000016530000}"/>
    <cellStyle name="Output 2 4 10 2 3" xfId="18613" xr:uid="{00000000-0005-0000-0000-000017530000}"/>
    <cellStyle name="Output 2 4 10 3" xfId="12660" xr:uid="{00000000-0005-0000-0000-000018530000}"/>
    <cellStyle name="Output 2 4 10 3 2" xfId="27492" xr:uid="{00000000-0005-0000-0000-000019530000}"/>
    <cellStyle name="Output 2 4 10 4" xfId="10176" xr:uid="{00000000-0005-0000-0000-00001A530000}"/>
    <cellStyle name="Output 2 4 10 4 2" xfId="25008" xr:uid="{00000000-0005-0000-0000-00001B530000}"/>
    <cellStyle name="Output 2 4 11" xfId="5283" xr:uid="{00000000-0005-0000-0000-00001C530000}"/>
    <cellStyle name="Output 2 4 11 2" xfId="9291" xr:uid="{00000000-0005-0000-0000-00001D530000}"/>
    <cellStyle name="Output 2 4 11 2 2" xfId="18158" xr:uid="{00000000-0005-0000-0000-00001E530000}"/>
    <cellStyle name="Output 2 4 11 2 2 2" xfId="32990" xr:uid="{00000000-0005-0000-0000-00001F530000}"/>
    <cellStyle name="Output 2 4 11 2 3" xfId="19677" xr:uid="{00000000-0005-0000-0000-000020530000}"/>
    <cellStyle name="Output 2 4 11 3" xfId="15599" xr:uid="{00000000-0005-0000-0000-000021530000}"/>
    <cellStyle name="Output 2 4 11 3 2" xfId="30431" xr:uid="{00000000-0005-0000-0000-000022530000}"/>
    <cellStyle name="Output 2 4 12" xfId="5441" xr:uid="{00000000-0005-0000-0000-000023530000}"/>
    <cellStyle name="Output 2 4 12 2" xfId="15677" xr:uid="{00000000-0005-0000-0000-000024530000}"/>
    <cellStyle name="Output 2 4 12 2 2" xfId="30509" xr:uid="{00000000-0005-0000-0000-000025530000}"/>
    <cellStyle name="Output 2 4 12 3" xfId="18254" xr:uid="{00000000-0005-0000-0000-000026530000}"/>
    <cellStyle name="Output 2 4 13" xfId="9350" xr:uid="{00000000-0005-0000-0000-000027530000}"/>
    <cellStyle name="Output 2 4 13 2" xfId="24656" xr:uid="{00000000-0005-0000-0000-000028530000}"/>
    <cellStyle name="Output 2 4 14" xfId="5339" xr:uid="{00000000-0005-0000-0000-000029530000}"/>
    <cellStyle name="Output 2 4 14 2" xfId="18213" xr:uid="{00000000-0005-0000-0000-00002A530000}"/>
    <cellStyle name="Output 2 4 2" xfId="1353" xr:uid="{00000000-0005-0000-0000-00002B530000}"/>
    <cellStyle name="Output 2 4 2 2" xfId="1857" xr:uid="{00000000-0005-0000-0000-00002C530000}"/>
    <cellStyle name="Output 2 4 2 2 2" xfId="3795" xr:uid="{00000000-0005-0000-0000-00002D530000}"/>
    <cellStyle name="Output 2 4 2 2 2 2" xfId="7850" xr:uid="{00000000-0005-0000-0000-00002E530000}"/>
    <cellStyle name="Output 2 4 2 2 2 2 2" xfId="17369" xr:uid="{00000000-0005-0000-0000-00002F530000}"/>
    <cellStyle name="Output 2 4 2 2 2 2 2 2" xfId="32201" xr:uid="{00000000-0005-0000-0000-000030530000}"/>
    <cellStyle name="Output 2 4 2 2 2 2 3" xfId="19156" xr:uid="{00000000-0005-0000-0000-000031530000}"/>
    <cellStyle name="Output 2 4 2 2 2 3" xfId="14130" xr:uid="{00000000-0005-0000-0000-000032530000}"/>
    <cellStyle name="Output 2 4 2 2 2 3 2" xfId="28962" xr:uid="{00000000-0005-0000-0000-000033530000}"/>
    <cellStyle name="Output 2 4 2 2 2 4" xfId="10986" xr:uid="{00000000-0005-0000-0000-000034530000}"/>
    <cellStyle name="Output 2 4 2 2 2 4 2" xfId="25818" xr:uid="{00000000-0005-0000-0000-000035530000}"/>
    <cellStyle name="Output 2 4 2 2 3" xfId="4835" xr:uid="{00000000-0005-0000-0000-000036530000}"/>
    <cellStyle name="Output 2 4 2 2 3 2" xfId="8874" xr:uid="{00000000-0005-0000-0000-000037530000}"/>
    <cellStyle name="Output 2 4 2 2 3 2 2" xfId="17915" xr:uid="{00000000-0005-0000-0000-000038530000}"/>
    <cellStyle name="Output 2 4 2 2 3 2 2 2" xfId="32747" xr:uid="{00000000-0005-0000-0000-000039530000}"/>
    <cellStyle name="Output 2 4 2 2 3 2 3" xfId="19517" xr:uid="{00000000-0005-0000-0000-00003A530000}"/>
    <cellStyle name="Output 2 4 2 2 3 3" xfId="15159" xr:uid="{00000000-0005-0000-0000-00003B530000}"/>
    <cellStyle name="Output 2 4 2 2 3 3 2" xfId="29991" xr:uid="{00000000-0005-0000-0000-00003C530000}"/>
    <cellStyle name="Output 2 4 2 2 3 4" xfId="11518" xr:uid="{00000000-0005-0000-0000-00003D530000}"/>
    <cellStyle name="Output 2 4 2 2 3 4 2" xfId="26350" xr:uid="{00000000-0005-0000-0000-00003E530000}"/>
    <cellStyle name="Output 2 4 2 2 4" xfId="2825" xr:uid="{00000000-0005-0000-0000-00003F530000}"/>
    <cellStyle name="Output 2 4 2 2 4 2" xfId="6916" xr:uid="{00000000-0005-0000-0000-000040530000}"/>
    <cellStyle name="Output 2 4 2 2 4 2 2" xfId="16809" xr:uid="{00000000-0005-0000-0000-000041530000}"/>
    <cellStyle name="Output 2 4 2 2 4 2 2 2" xfId="31641" xr:uid="{00000000-0005-0000-0000-000042530000}"/>
    <cellStyle name="Output 2 4 2 2 4 2 3" xfId="18808" xr:uid="{00000000-0005-0000-0000-000043530000}"/>
    <cellStyle name="Output 2 4 2 2 4 3" xfId="13163" xr:uid="{00000000-0005-0000-0000-000044530000}"/>
    <cellStyle name="Output 2 4 2 2 4 3 2" xfId="27995" xr:uid="{00000000-0005-0000-0000-000045530000}"/>
    <cellStyle name="Output 2 4 2 2 4 4" xfId="10462" xr:uid="{00000000-0005-0000-0000-000046530000}"/>
    <cellStyle name="Output 2 4 2 2 4 4 2" xfId="25294" xr:uid="{00000000-0005-0000-0000-000047530000}"/>
    <cellStyle name="Output 2 4 2 2 5" xfId="5989" xr:uid="{00000000-0005-0000-0000-000048530000}"/>
    <cellStyle name="Output 2 4 2 2 5 2" xfId="16181" xr:uid="{00000000-0005-0000-0000-000049530000}"/>
    <cellStyle name="Output 2 4 2 2 5 2 2" xfId="31013" xr:uid="{00000000-0005-0000-0000-00004A530000}"/>
    <cellStyle name="Output 2 4 2 2 5 3" xfId="18450" xr:uid="{00000000-0005-0000-0000-00004B530000}"/>
    <cellStyle name="Output 2 4 2 2 6" xfId="12251" xr:uid="{00000000-0005-0000-0000-00004C530000}"/>
    <cellStyle name="Output 2 4 2 2 6 2" xfId="27083" xr:uid="{00000000-0005-0000-0000-00004D530000}"/>
    <cellStyle name="Output 2 4 2 2 7" xfId="9847" xr:uid="{00000000-0005-0000-0000-00004E530000}"/>
    <cellStyle name="Output 2 4 2 2 7 2" xfId="24773" xr:uid="{00000000-0005-0000-0000-00004F530000}"/>
    <cellStyle name="Output 2 4 2 3" xfId="3697" xr:uid="{00000000-0005-0000-0000-000050530000}"/>
    <cellStyle name="Output 2 4 2 3 2" xfId="7753" xr:uid="{00000000-0005-0000-0000-000051530000}"/>
    <cellStyle name="Output 2 4 2 3 2 2" xfId="17321" xr:uid="{00000000-0005-0000-0000-000052530000}"/>
    <cellStyle name="Output 2 4 2 3 2 2 2" xfId="32153" xr:uid="{00000000-0005-0000-0000-000053530000}"/>
    <cellStyle name="Output 2 4 2 3 2 3" xfId="19126" xr:uid="{00000000-0005-0000-0000-000054530000}"/>
    <cellStyle name="Output 2 4 2 3 3" xfId="14032" xr:uid="{00000000-0005-0000-0000-000055530000}"/>
    <cellStyle name="Output 2 4 2 3 3 2" xfId="28864" xr:uid="{00000000-0005-0000-0000-000056530000}"/>
    <cellStyle name="Output 2 4 2 3 4" xfId="10939" xr:uid="{00000000-0005-0000-0000-000057530000}"/>
    <cellStyle name="Output 2 4 2 3 4 2" xfId="25771" xr:uid="{00000000-0005-0000-0000-000058530000}"/>
    <cellStyle name="Output 2 4 2 4" xfId="4415" xr:uid="{00000000-0005-0000-0000-000059530000}"/>
    <cellStyle name="Output 2 4 2 4 2" xfId="8454" xr:uid="{00000000-0005-0000-0000-00005A530000}"/>
    <cellStyle name="Output 2 4 2 4 2 2" xfId="17675" xr:uid="{00000000-0005-0000-0000-00005B530000}"/>
    <cellStyle name="Output 2 4 2 4 2 2 2" xfId="32507" xr:uid="{00000000-0005-0000-0000-00005C530000}"/>
    <cellStyle name="Output 2 4 2 4 2 3" xfId="19357" xr:uid="{00000000-0005-0000-0000-00005D530000}"/>
    <cellStyle name="Output 2 4 2 4 3" xfId="14744" xr:uid="{00000000-0005-0000-0000-00005E530000}"/>
    <cellStyle name="Output 2 4 2 4 3 2" xfId="29576" xr:uid="{00000000-0005-0000-0000-00005F530000}"/>
    <cellStyle name="Output 2 4 2 4 4" xfId="11283" xr:uid="{00000000-0005-0000-0000-000060530000}"/>
    <cellStyle name="Output 2 4 2 4 4 2" xfId="26115" xr:uid="{00000000-0005-0000-0000-000061530000}"/>
    <cellStyle name="Output 2 4 2 5" xfId="2405" xr:uid="{00000000-0005-0000-0000-000062530000}"/>
    <cellStyle name="Output 2 4 2 5 2" xfId="6517" xr:uid="{00000000-0005-0000-0000-000063530000}"/>
    <cellStyle name="Output 2 4 2 5 2 2" xfId="16573" xr:uid="{00000000-0005-0000-0000-000064530000}"/>
    <cellStyle name="Output 2 4 2 5 2 2 2" xfId="31405" xr:uid="{00000000-0005-0000-0000-000065530000}"/>
    <cellStyle name="Output 2 4 2 5 2 3" xfId="18645" xr:uid="{00000000-0005-0000-0000-000066530000}"/>
    <cellStyle name="Output 2 4 2 5 3" xfId="12744" xr:uid="{00000000-0005-0000-0000-000067530000}"/>
    <cellStyle name="Output 2 4 2 5 3 2" xfId="27576" xr:uid="{00000000-0005-0000-0000-000068530000}"/>
    <cellStyle name="Output 2 4 2 5 4" xfId="10223" xr:uid="{00000000-0005-0000-0000-000069530000}"/>
    <cellStyle name="Output 2 4 2 5 4 2" xfId="25055" xr:uid="{00000000-0005-0000-0000-00006A530000}"/>
    <cellStyle name="Output 2 4 2 6" xfId="5530" xr:uid="{00000000-0005-0000-0000-00006B530000}"/>
    <cellStyle name="Output 2 4 2 6 2" xfId="15765" xr:uid="{00000000-0005-0000-0000-00006C530000}"/>
    <cellStyle name="Output 2 4 2 6 2 2" xfId="30597" xr:uid="{00000000-0005-0000-0000-00006D530000}"/>
    <cellStyle name="Output 2 4 2 6 3" xfId="18287" xr:uid="{00000000-0005-0000-0000-00006E530000}"/>
    <cellStyle name="Output 2 4 2 7" xfId="11780" xr:uid="{00000000-0005-0000-0000-00006F530000}"/>
    <cellStyle name="Output 2 4 2 7 2" xfId="26612" xr:uid="{00000000-0005-0000-0000-000070530000}"/>
    <cellStyle name="Output 2 4 2 8" xfId="9451" xr:uid="{00000000-0005-0000-0000-000071530000}"/>
    <cellStyle name="Output 2 4 2 8 2" xfId="19755" xr:uid="{00000000-0005-0000-0000-000072530000}"/>
    <cellStyle name="Output 2 4 3" xfId="1523" xr:uid="{00000000-0005-0000-0000-000073530000}"/>
    <cellStyle name="Output 2 4 3 2" xfId="2020" xr:uid="{00000000-0005-0000-0000-000074530000}"/>
    <cellStyle name="Output 2 4 3 2 2" xfId="3390" xr:uid="{00000000-0005-0000-0000-000075530000}"/>
    <cellStyle name="Output 2 4 3 2 2 2" xfId="7453" xr:uid="{00000000-0005-0000-0000-000076530000}"/>
    <cellStyle name="Output 2 4 3 2 2 2 2" xfId="17157" xr:uid="{00000000-0005-0000-0000-000077530000}"/>
    <cellStyle name="Output 2 4 3 2 2 2 2 2" xfId="31989" xr:uid="{00000000-0005-0000-0000-000078530000}"/>
    <cellStyle name="Output 2 4 3 2 2 2 3" xfId="19019" xr:uid="{00000000-0005-0000-0000-000079530000}"/>
    <cellStyle name="Output 2 4 3 2 2 3" xfId="13727" xr:uid="{00000000-0005-0000-0000-00007A530000}"/>
    <cellStyle name="Output 2 4 3 2 2 3 2" xfId="28559" xr:uid="{00000000-0005-0000-0000-00007B530000}"/>
    <cellStyle name="Output 2 4 3 2 2 4" xfId="10776" xr:uid="{00000000-0005-0000-0000-00007C530000}"/>
    <cellStyle name="Output 2 4 3 2 2 4 2" xfId="25608" xr:uid="{00000000-0005-0000-0000-00007D530000}"/>
    <cellStyle name="Output 2 4 3 2 3" xfId="4988" xr:uid="{00000000-0005-0000-0000-00007E530000}"/>
    <cellStyle name="Output 2 4 3 2 3 2" xfId="9027" xr:uid="{00000000-0005-0000-0000-00007F530000}"/>
    <cellStyle name="Output 2 4 3 2 3 2 2" xfId="17965" xr:uid="{00000000-0005-0000-0000-000080530000}"/>
    <cellStyle name="Output 2 4 3 2 3 2 2 2" xfId="32797" xr:uid="{00000000-0005-0000-0000-000081530000}"/>
    <cellStyle name="Output 2 4 3 2 3 2 3" xfId="19549" xr:uid="{00000000-0005-0000-0000-000082530000}"/>
    <cellStyle name="Output 2 4 3 2 3 3" xfId="15310" xr:uid="{00000000-0005-0000-0000-000083530000}"/>
    <cellStyle name="Output 2 4 3 2 3 3 2" xfId="30142" xr:uid="{00000000-0005-0000-0000-000084530000}"/>
    <cellStyle name="Output 2 4 3 2 3 4" xfId="11566" xr:uid="{00000000-0005-0000-0000-000085530000}"/>
    <cellStyle name="Output 2 4 3 2 3 4 2" xfId="26398" xr:uid="{00000000-0005-0000-0000-000086530000}"/>
    <cellStyle name="Output 2 4 3 2 4" xfId="2978" xr:uid="{00000000-0005-0000-0000-000087530000}"/>
    <cellStyle name="Output 2 4 3 2 4 2" xfId="7058" xr:uid="{00000000-0005-0000-0000-000088530000}"/>
    <cellStyle name="Output 2 4 3 2 4 2 2" xfId="16857" xr:uid="{00000000-0005-0000-0000-000089530000}"/>
    <cellStyle name="Output 2 4 3 2 4 2 2 2" xfId="31689" xr:uid="{00000000-0005-0000-0000-00008A530000}"/>
    <cellStyle name="Output 2 4 3 2 4 2 3" xfId="18841" xr:uid="{00000000-0005-0000-0000-00008B530000}"/>
    <cellStyle name="Output 2 4 3 2 4 3" xfId="13316" xr:uid="{00000000-0005-0000-0000-00008C530000}"/>
    <cellStyle name="Output 2 4 3 2 4 3 2" xfId="28148" xr:uid="{00000000-0005-0000-0000-00008D530000}"/>
    <cellStyle name="Output 2 4 3 2 4 4" xfId="10512" xr:uid="{00000000-0005-0000-0000-00008E530000}"/>
    <cellStyle name="Output 2 4 3 2 4 4 2" xfId="25344" xr:uid="{00000000-0005-0000-0000-00008F530000}"/>
    <cellStyle name="Output 2 4 3 2 5" xfId="6150" xr:uid="{00000000-0005-0000-0000-000090530000}"/>
    <cellStyle name="Output 2 4 3 2 5 2" xfId="16337" xr:uid="{00000000-0005-0000-0000-000091530000}"/>
    <cellStyle name="Output 2 4 3 2 5 2 2" xfId="31169" xr:uid="{00000000-0005-0000-0000-000092530000}"/>
    <cellStyle name="Output 2 4 3 2 5 3" xfId="18482" xr:uid="{00000000-0005-0000-0000-000093530000}"/>
    <cellStyle name="Output 2 4 3 2 6" xfId="12407" xr:uid="{00000000-0005-0000-0000-000094530000}"/>
    <cellStyle name="Output 2 4 3 2 6 2" xfId="27239" xr:uid="{00000000-0005-0000-0000-000095530000}"/>
    <cellStyle name="Output 2 4 3 2 7" xfId="9989" xr:uid="{00000000-0005-0000-0000-000096530000}"/>
    <cellStyle name="Output 2 4 3 2 7 2" xfId="24821" xr:uid="{00000000-0005-0000-0000-000097530000}"/>
    <cellStyle name="Output 2 4 3 3" xfId="3270" xr:uid="{00000000-0005-0000-0000-000098530000}"/>
    <cellStyle name="Output 2 4 3 3 2" xfId="7334" xr:uid="{00000000-0005-0000-0000-000099530000}"/>
    <cellStyle name="Output 2 4 3 3 2 2" xfId="17078" xr:uid="{00000000-0005-0000-0000-00009A530000}"/>
    <cellStyle name="Output 2 4 3 3 2 2 2" xfId="31910" xr:uid="{00000000-0005-0000-0000-00009B530000}"/>
    <cellStyle name="Output 2 4 3 3 2 3" xfId="18978" xr:uid="{00000000-0005-0000-0000-00009C530000}"/>
    <cellStyle name="Output 2 4 3 3 3" xfId="13607" xr:uid="{00000000-0005-0000-0000-00009D530000}"/>
    <cellStyle name="Output 2 4 3 3 3 2" xfId="28439" xr:uid="{00000000-0005-0000-0000-00009E530000}"/>
    <cellStyle name="Output 2 4 3 3 4" xfId="10706" xr:uid="{00000000-0005-0000-0000-00009F530000}"/>
    <cellStyle name="Output 2 4 3 3 4 2" xfId="25538" xr:uid="{00000000-0005-0000-0000-0000A0530000}"/>
    <cellStyle name="Output 2 4 3 4" xfId="4568" xr:uid="{00000000-0005-0000-0000-0000A1530000}"/>
    <cellStyle name="Output 2 4 3 4 2" xfId="8607" xr:uid="{00000000-0005-0000-0000-0000A2530000}"/>
    <cellStyle name="Output 2 4 3 4 2 2" xfId="17725" xr:uid="{00000000-0005-0000-0000-0000A3530000}"/>
    <cellStyle name="Output 2 4 3 4 2 2 2" xfId="32557" xr:uid="{00000000-0005-0000-0000-0000A4530000}"/>
    <cellStyle name="Output 2 4 3 4 2 3" xfId="19389" xr:uid="{00000000-0005-0000-0000-0000A5530000}"/>
    <cellStyle name="Output 2 4 3 4 3" xfId="14895" xr:uid="{00000000-0005-0000-0000-0000A6530000}"/>
    <cellStyle name="Output 2 4 3 4 3 2" xfId="29727" xr:uid="{00000000-0005-0000-0000-0000A7530000}"/>
    <cellStyle name="Output 2 4 3 4 4" xfId="11331" xr:uid="{00000000-0005-0000-0000-0000A8530000}"/>
    <cellStyle name="Output 2 4 3 4 4 2" xfId="26163" xr:uid="{00000000-0005-0000-0000-0000A9530000}"/>
    <cellStyle name="Output 2 4 3 5" xfId="2558" xr:uid="{00000000-0005-0000-0000-0000AA530000}"/>
    <cellStyle name="Output 2 4 3 5 2" xfId="6664" xr:uid="{00000000-0005-0000-0000-0000AB530000}"/>
    <cellStyle name="Output 2 4 3 5 2 2" xfId="16622" xr:uid="{00000000-0005-0000-0000-0000AC530000}"/>
    <cellStyle name="Output 2 4 3 5 2 2 2" xfId="31454" xr:uid="{00000000-0005-0000-0000-0000AD530000}"/>
    <cellStyle name="Output 2 4 3 5 2 3" xfId="18677" xr:uid="{00000000-0005-0000-0000-0000AE530000}"/>
    <cellStyle name="Output 2 4 3 5 3" xfId="12896" xr:uid="{00000000-0005-0000-0000-0000AF530000}"/>
    <cellStyle name="Output 2 4 3 5 3 2" xfId="27728" xr:uid="{00000000-0005-0000-0000-0000B0530000}"/>
    <cellStyle name="Output 2 4 3 5 4" xfId="10272" xr:uid="{00000000-0005-0000-0000-0000B1530000}"/>
    <cellStyle name="Output 2 4 3 5 4 2" xfId="25104" xr:uid="{00000000-0005-0000-0000-0000B2530000}"/>
    <cellStyle name="Output 2 4 3 6" xfId="5681" xr:uid="{00000000-0005-0000-0000-0000B3530000}"/>
    <cellStyle name="Output 2 4 3 6 2" xfId="15916" xr:uid="{00000000-0005-0000-0000-0000B4530000}"/>
    <cellStyle name="Output 2 4 3 6 2 2" xfId="30748" xr:uid="{00000000-0005-0000-0000-0000B5530000}"/>
    <cellStyle name="Output 2 4 3 6 3" xfId="18319" xr:uid="{00000000-0005-0000-0000-0000B6530000}"/>
    <cellStyle name="Output 2 4 3 7" xfId="11936" xr:uid="{00000000-0005-0000-0000-0000B7530000}"/>
    <cellStyle name="Output 2 4 3 7 2" xfId="26768" xr:uid="{00000000-0005-0000-0000-0000B8530000}"/>
    <cellStyle name="Output 2 4 3 8" xfId="9594" xr:uid="{00000000-0005-0000-0000-0000B9530000}"/>
    <cellStyle name="Output 2 4 3 8 2" xfId="19896" xr:uid="{00000000-0005-0000-0000-0000BA530000}"/>
    <cellStyle name="Output 2 4 4" xfId="1578" xr:uid="{00000000-0005-0000-0000-0000BB530000}"/>
    <cellStyle name="Output 2 4 4 2" xfId="2075" xr:uid="{00000000-0005-0000-0000-0000BC530000}"/>
    <cellStyle name="Output 2 4 4 2 2" xfId="3487" xr:uid="{00000000-0005-0000-0000-0000BD530000}"/>
    <cellStyle name="Output 2 4 4 2 2 2" xfId="7549" xr:uid="{00000000-0005-0000-0000-0000BE530000}"/>
    <cellStyle name="Output 2 4 4 2 2 2 2" xfId="17211" xr:uid="{00000000-0005-0000-0000-0000BF530000}"/>
    <cellStyle name="Output 2 4 4 2 2 2 2 2" xfId="32043" xr:uid="{00000000-0005-0000-0000-0000C0530000}"/>
    <cellStyle name="Output 2 4 4 2 2 2 3" xfId="19048" xr:uid="{00000000-0005-0000-0000-0000C1530000}"/>
    <cellStyle name="Output 2 4 4 2 2 3" xfId="13824" xr:uid="{00000000-0005-0000-0000-0000C2530000}"/>
    <cellStyle name="Output 2 4 4 2 2 3 2" xfId="28656" xr:uid="{00000000-0005-0000-0000-0000C3530000}"/>
    <cellStyle name="Output 2 4 4 2 2 4" xfId="10829" xr:uid="{00000000-0005-0000-0000-0000C4530000}"/>
    <cellStyle name="Output 2 4 4 2 2 4 2" xfId="25661" xr:uid="{00000000-0005-0000-0000-0000C5530000}"/>
    <cellStyle name="Output 2 4 4 2 3" xfId="5043" xr:uid="{00000000-0005-0000-0000-0000C6530000}"/>
    <cellStyle name="Output 2 4 4 2 3 2" xfId="9082" xr:uid="{00000000-0005-0000-0000-0000C7530000}"/>
    <cellStyle name="Output 2 4 4 2 3 2 2" xfId="18015" xr:uid="{00000000-0005-0000-0000-0000C8530000}"/>
    <cellStyle name="Output 2 4 4 2 3 2 2 2" xfId="32847" xr:uid="{00000000-0005-0000-0000-0000C9530000}"/>
    <cellStyle name="Output 2 4 4 2 3 2 3" xfId="19581" xr:uid="{00000000-0005-0000-0000-0000CA530000}"/>
    <cellStyle name="Output 2 4 4 2 3 3" xfId="15364" xr:uid="{00000000-0005-0000-0000-0000CB530000}"/>
    <cellStyle name="Output 2 4 4 2 3 3 2" xfId="30196" xr:uid="{00000000-0005-0000-0000-0000CC530000}"/>
    <cellStyle name="Output 2 4 4 2 3 4" xfId="11615" xr:uid="{00000000-0005-0000-0000-0000CD530000}"/>
    <cellStyle name="Output 2 4 4 2 3 4 2" xfId="26447" xr:uid="{00000000-0005-0000-0000-0000CE530000}"/>
    <cellStyle name="Output 2 4 4 2 4" xfId="3033" xr:uid="{00000000-0005-0000-0000-0000CF530000}"/>
    <cellStyle name="Output 2 4 4 2 4 2" xfId="7108" xr:uid="{00000000-0005-0000-0000-0000D0530000}"/>
    <cellStyle name="Output 2 4 4 2 4 2 2" xfId="16906" xr:uid="{00000000-0005-0000-0000-0000D1530000}"/>
    <cellStyle name="Output 2 4 4 2 4 2 2 2" xfId="31738" xr:uid="{00000000-0005-0000-0000-0000D2530000}"/>
    <cellStyle name="Output 2 4 4 2 4 2 3" xfId="18874" xr:uid="{00000000-0005-0000-0000-0000D3530000}"/>
    <cellStyle name="Output 2 4 4 2 4 3" xfId="13371" xr:uid="{00000000-0005-0000-0000-0000D4530000}"/>
    <cellStyle name="Output 2 4 4 2 4 3 2" xfId="28203" xr:uid="{00000000-0005-0000-0000-0000D5530000}"/>
    <cellStyle name="Output 2 4 4 2 4 4" xfId="10562" xr:uid="{00000000-0005-0000-0000-0000D6530000}"/>
    <cellStyle name="Output 2 4 4 2 4 4 2" xfId="25394" xr:uid="{00000000-0005-0000-0000-0000D7530000}"/>
    <cellStyle name="Output 2 4 4 2 5" xfId="6200" xr:uid="{00000000-0005-0000-0000-0000D8530000}"/>
    <cellStyle name="Output 2 4 4 2 5 2" xfId="16386" xr:uid="{00000000-0005-0000-0000-0000D9530000}"/>
    <cellStyle name="Output 2 4 4 2 5 2 2" xfId="31218" xr:uid="{00000000-0005-0000-0000-0000DA530000}"/>
    <cellStyle name="Output 2 4 4 2 5 3" xfId="18515" xr:uid="{00000000-0005-0000-0000-0000DB530000}"/>
    <cellStyle name="Output 2 4 4 2 6" xfId="12456" xr:uid="{00000000-0005-0000-0000-0000DC530000}"/>
    <cellStyle name="Output 2 4 4 2 6 2" xfId="27288" xr:uid="{00000000-0005-0000-0000-0000DD530000}"/>
    <cellStyle name="Output 2 4 4 2 7" xfId="10038" xr:uid="{00000000-0005-0000-0000-0000DE530000}"/>
    <cellStyle name="Output 2 4 4 2 7 2" xfId="24870" xr:uid="{00000000-0005-0000-0000-0000DF530000}"/>
    <cellStyle name="Output 2 4 4 3" xfId="3860" xr:uid="{00000000-0005-0000-0000-0000E0530000}"/>
    <cellStyle name="Output 2 4 4 3 2" xfId="7912" xr:uid="{00000000-0005-0000-0000-0000E1530000}"/>
    <cellStyle name="Output 2 4 4 3 2 2" xfId="17397" xr:uid="{00000000-0005-0000-0000-0000E2530000}"/>
    <cellStyle name="Output 2 4 4 3 2 2 2" xfId="32229" xr:uid="{00000000-0005-0000-0000-0000E3530000}"/>
    <cellStyle name="Output 2 4 4 3 2 3" xfId="19176" xr:uid="{00000000-0005-0000-0000-0000E4530000}"/>
    <cellStyle name="Output 2 4 4 3 3" xfId="14195" xr:uid="{00000000-0005-0000-0000-0000E5530000}"/>
    <cellStyle name="Output 2 4 4 3 3 2" xfId="29027" xr:uid="{00000000-0005-0000-0000-0000E6530000}"/>
    <cellStyle name="Output 2 4 4 3 4" xfId="11016" xr:uid="{00000000-0005-0000-0000-0000E7530000}"/>
    <cellStyle name="Output 2 4 4 3 4 2" xfId="25848" xr:uid="{00000000-0005-0000-0000-0000E8530000}"/>
    <cellStyle name="Output 2 4 4 4" xfId="4623" xr:uid="{00000000-0005-0000-0000-0000E9530000}"/>
    <cellStyle name="Output 2 4 4 4 2" xfId="8662" xr:uid="{00000000-0005-0000-0000-0000EA530000}"/>
    <cellStyle name="Output 2 4 4 4 2 2" xfId="17775" xr:uid="{00000000-0005-0000-0000-0000EB530000}"/>
    <cellStyle name="Output 2 4 4 4 2 2 2" xfId="32607" xr:uid="{00000000-0005-0000-0000-0000EC530000}"/>
    <cellStyle name="Output 2 4 4 4 2 3" xfId="19421" xr:uid="{00000000-0005-0000-0000-0000ED530000}"/>
    <cellStyle name="Output 2 4 4 4 3" xfId="14949" xr:uid="{00000000-0005-0000-0000-0000EE530000}"/>
    <cellStyle name="Output 2 4 4 4 3 2" xfId="29781" xr:uid="{00000000-0005-0000-0000-0000EF530000}"/>
    <cellStyle name="Output 2 4 4 4 4" xfId="11380" xr:uid="{00000000-0005-0000-0000-0000F0530000}"/>
    <cellStyle name="Output 2 4 4 4 4 2" xfId="26212" xr:uid="{00000000-0005-0000-0000-0000F1530000}"/>
    <cellStyle name="Output 2 4 4 5" xfId="2613" xr:uid="{00000000-0005-0000-0000-0000F2530000}"/>
    <cellStyle name="Output 2 4 4 5 2" xfId="6714" xr:uid="{00000000-0005-0000-0000-0000F3530000}"/>
    <cellStyle name="Output 2 4 4 5 2 2" xfId="16671" xr:uid="{00000000-0005-0000-0000-0000F4530000}"/>
    <cellStyle name="Output 2 4 4 5 2 2 2" xfId="31503" xr:uid="{00000000-0005-0000-0000-0000F5530000}"/>
    <cellStyle name="Output 2 4 4 5 2 3" xfId="18710" xr:uid="{00000000-0005-0000-0000-0000F6530000}"/>
    <cellStyle name="Output 2 4 4 5 3" xfId="12951" xr:uid="{00000000-0005-0000-0000-0000F7530000}"/>
    <cellStyle name="Output 2 4 4 5 3 2" xfId="27783" xr:uid="{00000000-0005-0000-0000-0000F8530000}"/>
    <cellStyle name="Output 2 4 4 5 4" xfId="10322" xr:uid="{00000000-0005-0000-0000-0000F9530000}"/>
    <cellStyle name="Output 2 4 4 5 4 2" xfId="25154" xr:uid="{00000000-0005-0000-0000-0000FA530000}"/>
    <cellStyle name="Output 2 4 4 6" xfId="5730" xr:uid="{00000000-0005-0000-0000-0000FB530000}"/>
    <cellStyle name="Output 2 4 4 6 2" xfId="15965" xr:uid="{00000000-0005-0000-0000-0000FC530000}"/>
    <cellStyle name="Output 2 4 4 6 2 2" xfId="30797" xr:uid="{00000000-0005-0000-0000-0000FD530000}"/>
    <cellStyle name="Output 2 4 4 6 3" xfId="18351" xr:uid="{00000000-0005-0000-0000-0000FE530000}"/>
    <cellStyle name="Output 2 4 4 7" xfId="11985" xr:uid="{00000000-0005-0000-0000-0000FF530000}"/>
    <cellStyle name="Output 2 4 4 7 2" xfId="26817" xr:uid="{00000000-0005-0000-0000-000000540000}"/>
    <cellStyle name="Output 2 4 4 8" xfId="9644" xr:uid="{00000000-0005-0000-0000-000001540000}"/>
    <cellStyle name="Output 2 4 4 8 2" xfId="19945" xr:uid="{00000000-0005-0000-0000-000002540000}"/>
    <cellStyle name="Output 2 4 5" xfId="1628" xr:uid="{00000000-0005-0000-0000-000003540000}"/>
    <cellStyle name="Output 2 4 5 2" xfId="2125" xr:uid="{00000000-0005-0000-0000-000004540000}"/>
    <cellStyle name="Output 2 4 5 2 2" xfId="4310" xr:uid="{00000000-0005-0000-0000-000005540000}"/>
    <cellStyle name="Output 2 4 5 2 2 2" xfId="8349" xr:uid="{00000000-0005-0000-0000-000006540000}"/>
    <cellStyle name="Output 2 4 5 2 2 2 2" xfId="17628" xr:uid="{00000000-0005-0000-0000-000007540000}"/>
    <cellStyle name="Output 2 4 5 2 2 2 2 2" xfId="32460" xr:uid="{00000000-0005-0000-0000-000008540000}"/>
    <cellStyle name="Output 2 4 5 2 2 2 3" xfId="19331" xr:uid="{00000000-0005-0000-0000-000009540000}"/>
    <cellStyle name="Output 2 4 5 2 2 3" xfId="14641" xr:uid="{00000000-0005-0000-0000-00000A540000}"/>
    <cellStyle name="Output 2 4 5 2 2 3 2" xfId="29473" xr:uid="{00000000-0005-0000-0000-00000B540000}"/>
    <cellStyle name="Output 2 4 5 2 2 4" xfId="11238" xr:uid="{00000000-0005-0000-0000-00000C540000}"/>
    <cellStyle name="Output 2 4 5 2 2 4 2" xfId="26070" xr:uid="{00000000-0005-0000-0000-00000D540000}"/>
    <cellStyle name="Output 2 4 5 2 3" xfId="5093" xr:uid="{00000000-0005-0000-0000-00000E540000}"/>
    <cellStyle name="Output 2 4 5 2 3 2" xfId="9132" xr:uid="{00000000-0005-0000-0000-00000F540000}"/>
    <cellStyle name="Output 2 4 5 2 3 2 2" xfId="18060" xr:uid="{00000000-0005-0000-0000-000010540000}"/>
    <cellStyle name="Output 2 4 5 2 3 2 2 2" xfId="32892" xr:uid="{00000000-0005-0000-0000-000011540000}"/>
    <cellStyle name="Output 2 4 5 2 3 2 3" xfId="19613" xr:uid="{00000000-0005-0000-0000-000012540000}"/>
    <cellStyle name="Output 2 4 5 2 3 3" xfId="15413" xr:uid="{00000000-0005-0000-0000-000013540000}"/>
    <cellStyle name="Output 2 4 5 2 3 3 2" xfId="30245" xr:uid="{00000000-0005-0000-0000-000014540000}"/>
    <cellStyle name="Output 2 4 5 2 3 4" xfId="11659" xr:uid="{00000000-0005-0000-0000-000015540000}"/>
    <cellStyle name="Output 2 4 5 2 3 4 2" xfId="26491" xr:uid="{00000000-0005-0000-0000-000016540000}"/>
    <cellStyle name="Output 2 4 5 2 4" xfId="3083" xr:uid="{00000000-0005-0000-0000-000017540000}"/>
    <cellStyle name="Output 2 4 5 2 4 2" xfId="7153" xr:uid="{00000000-0005-0000-0000-000018540000}"/>
    <cellStyle name="Output 2 4 5 2 4 2 2" xfId="16950" xr:uid="{00000000-0005-0000-0000-000019540000}"/>
    <cellStyle name="Output 2 4 5 2 4 2 2 2" xfId="31782" xr:uid="{00000000-0005-0000-0000-00001A540000}"/>
    <cellStyle name="Output 2 4 5 2 4 2 3" xfId="18907" xr:uid="{00000000-0005-0000-0000-00001B540000}"/>
    <cellStyle name="Output 2 4 5 2 4 3" xfId="13421" xr:uid="{00000000-0005-0000-0000-00001C540000}"/>
    <cellStyle name="Output 2 4 5 2 4 3 2" xfId="28253" xr:uid="{00000000-0005-0000-0000-00001D540000}"/>
    <cellStyle name="Output 2 4 5 2 4 4" xfId="10607" xr:uid="{00000000-0005-0000-0000-00001E540000}"/>
    <cellStyle name="Output 2 4 5 2 4 4 2" xfId="25439" xr:uid="{00000000-0005-0000-0000-00001F540000}"/>
    <cellStyle name="Output 2 4 5 2 5" xfId="6245" xr:uid="{00000000-0005-0000-0000-000020540000}"/>
    <cellStyle name="Output 2 4 5 2 5 2" xfId="16430" xr:uid="{00000000-0005-0000-0000-000021540000}"/>
    <cellStyle name="Output 2 4 5 2 5 2 2" xfId="31262" xr:uid="{00000000-0005-0000-0000-000022540000}"/>
    <cellStyle name="Output 2 4 5 2 5 3" xfId="18548" xr:uid="{00000000-0005-0000-0000-000023540000}"/>
    <cellStyle name="Output 2 4 5 2 6" xfId="12500" xr:uid="{00000000-0005-0000-0000-000024540000}"/>
    <cellStyle name="Output 2 4 5 2 6 2" xfId="27332" xr:uid="{00000000-0005-0000-0000-000025540000}"/>
    <cellStyle name="Output 2 4 5 2 7" xfId="10082" xr:uid="{00000000-0005-0000-0000-000026540000}"/>
    <cellStyle name="Output 2 4 5 2 7 2" xfId="24914" xr:uid="{00000000-0005-0000-0000-000027540000}"/>
    <cellStyle name="Output 2 4 5 3" xfId="4018" xr:uid="{00000000-0005-0000-0000-000028540000}"/>
    <cellStyle name="Output 2 4 5 3 2" xfId="8065" xr:uid="{00000000-0005-0000-0000-000029540000}"/>
    <cellStyle name="Output 2 4 5 3 2 2" xfId="17477" xr:uid="{00000000-0005-0000-0000-00002A540000}"/>
    <cellStyle name="Output 2 4 5 3 2 2 2" xfId="32309" xr:uid="{00000000-0005-0000-0000-00002B540000}"/>
    <cellStyle name="Output 2 4 5 3 2 3" xfId="19235" xr:uid="{00000000-0005-0000-0000-00002C540000}"/>
    <cellStyle name="Output 2 4 5 3 3" xfId="14350" xr:uid="{00000000-0005-0000-0000-00002D540000}"/>
    <cellStyle name="Output 2 4 5 3 3 2" xfId="29182" xr:uid="{00000000-0005-0000-0000-00002E540000}"/>
    <cellStyle name="Output 2 4 5 3 4" xfId="11093" xr:uid="{00000000-0005-0000-0000-00002F540000}"/>
    <cellStyle name="Output 2 4 5 3 4 2" xfId="25925" xr:uid="{00000000-0005-0000-0000-000030540000}"/>
    <cellStyle name="Output 2 4 5 4" xfId="4673" xr:uid="{00000000-0005-0000-0000-000031540000}"/>
    <cellStyle name="Output 2 4 5 4 2" xfId="8712" xr:uid="{00000000-0005-0000-0000-000032540000}"/>
    <cellStyle name="Output 2 4 5 4 2 2" xfId="17820" xr:uid="{00000000-0005-0000-0000-000033540000}"/>
    <cellStyle name="Output 2 4 5 4 2 2 2" xfId="32652" xr:uid="{00000000-0005-0000-0000-000034540000}"/>
    <cellStyle name="Output 2 4 5 4 2 3" xfId="19453" xr:uid="{00000000-0005-0000-0000-000035540000}"/>
    <cellStyle name="Output 2 4 5 4 3" xfId="14998" xr:uid="{00000000-0005-0000-0000-000036540000}"/>
    <cellStyle name="Output 2 4 5 4 3 2" xfId="29830" xr:uid="{00000000-0005-0000-0000-000037540000}"/>
    <cellStyle name="Output 2 4 5 4 4" xfId="11424" xr:uid="{00000000-0005-0000-0000-000038540000}"/>
    <cellStyle name="Output 2 4 5 4 4 2" xfId="26256" xr:uid="{00000000-0005-0000-0000-000039540000}"/>
    <cellStyle name="Output 2 4 5 5" xfId="2663" xr:uid="{00000000-0005-0000-0000-00003A540000}"/>
    <cellStyle name="Output 2 4 5 5 2" xfId="6759" xr:uid="{00000000-0005-0000-0000-00003B540000}"/>
    <cellStyle name="Output 2 4 5 5 2 2" xfId="16715" xr:uid="{00000000-0005-0000-0000-00003C540000}"/>
    <cellStyle name="Output 2 4 5 5 2 2 2" xfId="31547" xr:uid="{00000000-0005-0000-0000-00003D540000}"/>
    <cellStyle name="Output 2 4 5 5 2 3" xfId="18743" xr:uid="{00000000-0005-0000-0000-00003E540000}"/>
    <cellStyle name="Output 2 4 5 5 3" xfId="13001" xr:uid="{00000000-0005-0000-0000-00003F540000}"/>
    <cellStyle name="Output 2 4 5 5 3 2" xfId="27833" xr:uid="{00000000-0005-0000-0000-000040540000}"/>
    <cellStyle name="Output 2 4 5 5 4" xfId="10367" xr:uid="{00000000-0005-0000-0000-000041540000}"/>
    <cellStyle name="Output 2 4 5 5 4 2" xfId="25199" xr:uid="{00000000-0005-0000-0000-000042540000}"/>
    <cellStyle name="Output 2 4 5 6" xfId="5775" xr:uid="{00000000-0005-0000-0000-000043540000}"/>
    <cellStyle name="Output 2 4 5 6 2" xfId="16009" xr:uid="{00000000-0005-0000-0000-000044540000}"/>
    <cellStyle name="Output 2 4 5 6 2 2" xfId="30841" xr:uid="{00000000-0005-0000-0000-000045540000}"/>
    <cellStyle name="Output 2 4 5 6 3" xfId="18384" xr:uid="{00000000-0005-0000-0000-000046540000}"/>
    <cellStyle name="Output 2 4 5 7" xfId="12029" xr:uid="{00000000-0005-0000-0000-000047540000}"/>
    <cellStyle name="Output 2 4 5 7 2" xfId="26861" xr:uid="{00000000-0005-0000-0000-000048540000}"/>
    <cellStyle name="Output 2 4 5 8" xfId="9689" xr:uid="{00000000-0005-0000-0000-000049540000}"/>
    <cellStyle name="Output 2 4 5 8 2" xfId="19989" xr:uid="{00000000-0005-0000-0000-00004A540000}"/>
    <cellStyle name="Output 2 4 6" xfId="1779" xr:uid="{00000000-0005-0000-0000-00004B540000}"/>
    <cellStyle name="Output 2 4 6 2" xfId="4000" xr:uid="{00000000-0005-0000-0000-00004C540000}"/>
    <cellStyle name="Output 2 4 6 2 2" xfId="8047" xr:uid="{00000000-0005-0000-0000-00004D540000}"/>
    <cellStyle name="Output 2 4 6 2 2 2" xfId="17467" xr:uid="{00000000-0005-0000-0000-00004E540000}"/>
    <cellStyle name="Output 2 4 6 2 2 2 2" xfId="32299" xr:uid="{00000000-0005-0000-0000-00004F540000}"/>
    <cellStyle name="Output 2 4 6 2 2 3" xfId="19228" xr:uid="{00000000-0005-0000-0000-000050540000}"/>
    <cellStyle name="Output 2 4 6 2 3" xfId="14332" xr:uid="{00000000-0005-0000-0000-000051540000}"/>
    <cellStyle name="Output 2 4 6 2 3 2" xfId="29164" xr:uid="{00000000-0005-0000-0000-000052540000}"/>
    <cellStyle name="Output 2 4 6 2 4" xfId="11084" xr:uid="{00000000-0005-0000-0000-000053540000}"/>
    <cellStyle name="Output 2 4 6 2 4 2" xfId="25916" xr:uid="{00000000-0005-0000-0000-000054540000}"/>
    <cellStyle name="Output 2 4 6 3" xfId="4757" xr:uid="{00000000-0005-0000-0000-000055540000}"/>
    <cellStyle name="Output 2 4 6 3 2" xfId="8796" xr:uid="{00000000-0005-0000-0000-000056540000}"/>
    <cellStyle name="Output 2 4 6 3 2 2" xfId="17868" xr:uid="{00000000-0005-0000-0000-000057540000}"/>
    <cellStyle name="Output 2 4 6 3 2 2 2" xfId="32700" xr:uid="{00000000-0005-0000-0000-000058540000}"/>
    <cellStyle name="Output 2 4 6 3 2 3" xfId="19485" xr:uid="{00000000-0005-0000-0000-000059540000}"/>
    <cellStyle name="Output 2 4 6 3 3" xfId="15081" xr:uid="{00000000-0005-0000-0000-00005A540000}"/>
    <cellStyle name="Output 2 4 6 3 3 2" xfId="29913" xr:uid="{00000000-0005-0000-0000-00005B540000}"/>
    <cellStyle name="Output 2 4 6 3 4" xfId="11471" xr:uid="{00000000-0005-0000-0000-00005C540000}"/>
    <cellStyle name="Output 2 4 6 3 4 2" xfId="26303" xr:uid="{00000000-0005-0000-0000-00005D540000}"/>
    <cellStyle name="Output 2 4 6 4" xfId="2747" xr:uid="{00000000-0005-0000-0000-00005E540000}"/>
    <cellStyle name="Output 2 4 6 4 2" xfId="6838" xr:uid="{00000000-0005-0000-0000-00005F540000}"/>
    <cellStyle name="Output 2 4 6 4 2 2" xfId="16762" xr:uid="{00000000-0005-0000-0000-000060540000}"/>
    <cellStyle name="Output 2 4 6 4 2 2 2" xfId="31594" xr:uid="{00000000-0005-0000-0000-000061540000}"/>
    <cellStyle name="Output 2 4 6 4 2 3" xfId="18776" xr:uid="{00000000-0005-0000-0000-000062540000}"/>
    <cellStyle name="Output 2 4 6 4 3" xfId="13085" xr:uid="{00000000-0005-0000-0000-000063540000}"/>
    <cellStyle name="Output 2 4 6 4 3 2" xfId="27917" xr:uid="{00000000-0005-0000-0000-000064540000}"/>
    <cellStyle name="Output 2 4 6 4 4" xfId="10415" xr:uid="{00000000-0005-0000-0000-000065540000}"/>
    <cellStyle name="Output 2 4 6 4 4 2" xfId="25247" xr:uid="{00000000-0005-0000-0000-000066540000}"/>
    <cellStyle name="Output 2 4 6 5" xfId="5911" xr:uid="{00000000-0005-0000-0000-000067540000}"/>
    <cellStyle name="Output 2 4 6 5 2" xfId="16103" xr:uid="{00000000-0005-0000-0000-000068540000}"/>
    <cellStyle name="Output 2 4 6 5 2 2" xfId="30935" xr:uid="{00000000-0005-0000-0000-000069540000}"/>
    <cellStyle name="Output 2 4 6 5 3" xfId="18418" xr:uid="{00000000-0005-0000-0000-00006A540000}"/>
    <cellStyle name="Output 2 4 6 6" xfId="12173" xr:uid="{00000000-0005-0000-0000-00006B540000}"/>
    <cellStyle name="Output 2 4 6 6 2" xfId="27005" xr:uid="{00000000-0005-0000-0000-00006C540000}"/>
    <cellStyle name="Output 2 4 6 7" xfId="9769" xr:uid="{00000000-0005-0000-0000-00006D540000}"/>
    <cellStyle name="Output 2 4 6 7 2" xfId="24726" xr:uid="{00000000-0005-0000-0000-00006E540000}"/>
    <cellStyle name="Output 2 4 7" xfId="2187" xr:uid="{00000000-0005-0000-0000-00006F540000}"/>
    <cellStyle name="Output 2 4 7 2" xfId="3420" xr:uid="{00000000-0005-0000-0000-000070540000}"/>
    <cellStyle name="Output 2 4 7 2 2" xfId="7483" xr:uid="{00000000-0005-0000-0000-000071540000}"/>
    <cellStyle name="Output 2 4 7 2 2 2" xfId="17181" xr:uid="{00000000-0005-0000-0000-000072540000}"/>
    <cellStyle name="Output 2 4 7 2 2 2 2" xfId="32013" xr:uid="{00000000-0005-0000-0000-000073540000}"/>
    <cellStyle name="Output 2 4 7 2 2 3" xfId="19030" xr:uid="{00000000-0005-0000-0000-000074540000}"/>
    <cellStyle name="Output 2 4 7 2 3" xfId="13757" xr:uid="{00000000-0005-0000-0000-000075540000}"/>
    <cellStyle name="Output 2 4 7 2 3 2" xfId="28589" xr:uid="{00000000-0005-0000-0000-000076540000}"/>
    <cellStyle name="Output 2 4 7 2 4" xfId="10800" xr:uid="{00000000-0005-0000-0000-000077540000}"/>
    <cellStyle name="Output 2 4 7 2 4 2" xfId="25632" xr:uid="{00000000-0005-0000-0000-000078540000}"/>
    <cellStyle name="Output 2 4 7 3" xfId="5155" xr:uid="{00000000-0005-0000-0000-000079540000}"/>
    <cellStyle name="Output 2 4 7 3 2" xfId="9194" xr:uid="{00000000-0005-0000-0000-00007A540000}"/>
    <cellStyle name="Output 2 4 7 3 2 2" xfId="18117" xr:uid="{00000000-0005-0000-0000-00007B540000}"/>
    <cellStyle name="Output 2 4 7 3 2 2 2" xfId="32949" xr:uid="{00000000-0005-0000-0000-00007C540000}"/>
    <cellStyle name="Output 2 4 7 3 2 3" xfId="19668" xr:uid="{00000000-0005-0000-0000-00007D540000}"/>
    <cellStyle name="Output 2 4 7 3 3" xfId="15473" xr:uid="{00000000-0005-0000-0000-00007E540000}"/>
    <cellStyle name="Output 2 4 7 3 3 2" xfId="30305" xr:uid="{00000000-0005-0000-0000-00007F540000}"/>
    <cellStyle name="Output 2 4 7 3 4" xfId="11714" xr:uid="{00000000-0005-0000-0000-000080540000}"/>
    <cellStyle name="Output 2 4 7 3 4 2" xfId="26546" xr:uid="{00000000-0005-0000-0000-000081540000}"/>
    <cellStyle name="Output 2 4 7 4" xfId="4185" xr:uid="{00000000-0005-0000-0000-000082540000}"/>
    <cellStyle name="Output 2 4 7 4 2" xfId="8226" xr:uid="{00000000-0005-0000-0000-000083540000}"/>
    <cellStyle name="Output 2 4 7 4 2 2" xfId="17573" xr:uid="{00000000-0005-0000-0000-000084540000}"/>
    <cellStyle name="Output 2 4 7 4 2 2 2" xfId="32405" xr:uid="{00000000-0005-0000-0000-000085540000}"/>
    <cellStyle name="Output 2 4 7 4 2 3" xfId="19311" xr:uid="{00000000-0005-0000-0000-000086540000}"/>
    <cellStyle name="Output 2 4 7 4 3" xfId="14517" xr:uid="{00000000-0005-0000-0000-000087540000}"/>
    <cellStyle name="Output 2 4 7 4 3 2" xfId="29349" xr:uid="{00000000-0005-0000-0000-000088540000}"/>
    <cellStyle name="Output 2 4 7 4 4" xfId="11193" xr:uid="{00000000-0005-0000-0000-000089540000}"/>
    <cellStyle name="Output 2 4 7 4 4 2" xfId="26025" xr:uid="{00000000-0005-0000-0000-00008A540000}"/>
    <cellStyle name="Output 2 4 7 5" xfId="6301" xr:uid="{00000000-0005-0000-0000-00008B540000}"/>
    <cellStyle name="Output 2 4 7 5 2" xfId="16485" xr:uid="{00000000-0005-0000-0000-00008C540000}"/>
    <cellStyle name="Output 2 4 7 5 2 2" xfId="31317" xr:uid="{00000000-0005-0000-0000-00008D540000}"/>
    <cellStyle name="Output 2 4 7 5 3" xfId="18604" xr:uid="{00000000-0005-0000-0000-00008E540000}"/>
    <cellStyle name="Output 2 4 7 6" xfId="12555" xr:uid="{00000000-0005-0000-0000-00008F540000}"/>
    <cellStyle name="Output 2 4 7 6 2" xfId="27387" xr:uid="{00000000-0005-0000-0000-000090540000}"/>
    <cellStyle name="Output 2 4 7 7" xfId="10137" xr:uid="{00000000-0005-0000-0000-000091540000}"/>
    <cellStyle name="Output 2 4 7 7 2" xfId="24969" xr:uid="{00000000-0005-0000-0000-000092540000}"/>
    <cellStyle name="Output 2 4 8" xfId="4296" xr:uid="{00000000-0005-0000-0000-000093540000}"/>
    <cellStyle name="Output 2 4 8 2" xfId="8335" xr:uid="{00000000-0005-0000-0000-000094540000}"/>
    <cellStyle name="Output 2 4 8 2 2" xfId="17615" xr:uid="{00000000-0005-0000-0000-000095540000}"/>
    <cellStyle name="Output 2 4 8 2 2 2" xfId="32447" xr:uid="{00000000-0005-0000-0000-000096540000}"/>
    <cellStyle name="Output 2 4 8 2 3" xfId="19324" xr:uid="{00000000-0005-0000-0000-000097540000}"/>
    <cellStyle name="Output 2 4 8 3" xfId="14627" xr:uid="{00000000-0005-0000-0000-000098540000}"/>
    <cellStyle name="Output 2 4 8 3 2" xfId="29459" xr:uid="{00000000-0005-0000-0000-000099540000}"/>
    <cellStyle name="Output 2 4 8 4" xfId="11228" xr:uid="{00000000-0005-0000-0000-00009A540000}"/>
    <cellStyle name="Output 2 4 8 4 2" xfId="26060" xr:uid="{00000000-0005-0000-0000-00009B540000}"/>
    <cellStyle name="Output 2 4 9" xfId="3211" xr:uid="{00000000-0005-0000-0000-00009C540000}"/>
    <cellStyle name="Output 2 4 9 2" xfId="7275" xr:uid="{00000000-0005-0000-0000-00009D540000}"/>
    <cellStyle name="Output 2 4 9 2 2" xfId="17041" xr:uid="{00000000-0005-0000-0000-00009E540000}"/>
    <cellStyle name="Output 2 4 9 2 2 2" xfId="31873" xr:uid="{00000000-0005-0000-0000-00009F540000}"/>
    <cellStyle name="Output 2 4 9 2 3" xfId="18964" xr:uid="{00000000-0005-0000-0000-0000A0540000}"/>
    <cellStyle name="Output 2 4 9 3" xfId="13549" xr:uid="{00000000-0005-0000-0000-0000A1540000}"/>
    <cellStyle name="Output 2 4 9 3 2" xfId="28381" xr:uid="{00000000-0005-0000-0000-0000A2540000}"/>
    <cellStyle name="Output 2 4 9 4" xfId="10684" xr:uid="{00000000-0005-0000-0000-0000A3540000}"/>
    <cellStyle name="Output 2 4 9 4 2" xfId="25516" xr:uid="{00000000-0005-0000-0000-0000A4540000}"/>
    <cellStyle name="Output 2 5" xfId="1235" xr:uid="{00000000-0005-0000-0000-0000A5540000}"/>
    <cellStyle name="Output 2 5 10" xfId="2321" xr:uid="{00000000-0005-0000-0000-0000A6540000}"/>
    <cellStyle name="Output 2 5 10 2" xfId="6433" xr:uid="{00000000-0005-0000-0000-0000A7540000}"/>
    <cellStyle name="Output 2 5 10 2 2" xfId="16526" xr:uid="{00000000-0005-0000-0000-0000A8540000}"/>
    <cellStyle name="Output 2 5 10 2 2 2" xfId="31358" xr:uid="{00000000-0005-0000-0000-0000A9540000}"/>
    <cellStyle name="Output 2 5 10 2 3" xfId="18614" xr:uid="{00000000-0005-0000-0000-0000AA540000}"/>
    <cellStyle name="Output 2 5 10 3" xfId="12661" xr:uid="{00000000-0005-0000-0000-0000AB540000}"/>
    <cellStyle name="Output 2 5 10 3 2" xfId="27493" xr:uid="{00000000-0005-0000-0000-0000AC540000}"/>
    <cellStyle name="Output 2 5 10 4" xfId="10177" xr:uid="{00000000-0005-0000-0000-0000AD540000}"/>
    <cellStyle name="Output 2 5 10 4 2" xfId="25009" xr:uid="{00000000-0005-0000-0000-0000AE540000}"/>
    <cellStyle name="Output 2 5 11" xfId="5284" xr:uid="{00000000-0005-0000-0000-0000AF540000}"/>
    <cellStyle name="Output 2 5 11 2" xfId="9292" xr:uid="{00000000-0005-0000-0000-0000B0540000}"/>
    <cellStyle name="Output 2 5 11 2 2" xfId="18159" xr:uid="{00000000-0005-0000-0000-0000B1540000}"/>
    <cellStyle name="Output 2 5 11 2 2 2" xfId="32991" xr:uid="{00000000-0005-0000-0000-0000B2540000}"/>
    <cellStyle name="Output 2 5 11 2 3" xfId="19678" xr:uid="{00000000-0005-0000-0000-0000B3540000}"/>
    <cellStyle name="Output 2 5 11 3" xfId="15600" xr:uid="{00000000-0005-0000-0000-0000B4540000}"/>
    <cellStyle name="Output 2 5 11 3 2" xfId="30432" xr:uid="{00000000-0005-0000-0000-0000B5540000}"/>
    <cellStyle name="Output 2 5 12" xfId="5442" xr:uid="{00000000-0005-0000-0000-0000B6540000}"/>
    <cellStyle name="Output 2 5 12 2" xfId="15678" xr:uid="{00000000-0005-0000-0000-0000B7540000}"/>
    <cellStyle name="Output 2 5 12 2 2" xfId="30510" xr:uid="{00000000-0005-0000-0000-0000B8540000}"/>
    <cellStyle name="Output 2 5 12 3" xfId="18255" xr:uid="{00000000-0005-0000-0000-0000B9540000}"/>
    <cellStyle name="Output 2 5 13" xfId="9349" xr:uid="{00000000-0005-0000-0000-0000BA540000}"/>
    <cellStyle name="Output 2 5 13 2" xfId="24655" xr:uid="{00000000-0005-0000-0000-0000BB540000}"/>
    <cellStyle name="Output 2 5 14" xfId="5338" xr:uid="{00000000-0005-0000-0000-0000BC540000}"/>
    <cellStyle name="Output 2 5 14 2" xfId="18212" xr:uid="{00000000-0005-0000-0000-0000BD540000}"/>
    <cellStyle name="Output 2 5 2" xfId="1354" xr:uid="{00000000-0005-0000-0000-0000BE540000}"/>
    <cellStyle name="Output 2 5 2 2" xfId="1858" xr:uid="{00000000-0005-0000-0000-0000BF540000}"/>
    <cellStyle name="Output 2 5 2 2 2" xfId="4023" xr:uid="{00000000-0005-0000-0000-0000C0540000}"/>
    <cellStyle name="Output 2 5 2 2 2 2" xfId="8070" xr:uid="{00000000-0005-0000-0000-0000C1540000}"/>
    <cellStyle name="Output 2 5 2 2 2 2 2" xfId="17481" xr:uid="{00000000-0005-0000-0000-0000C2540000}"/>
    <cellStyle name="Output 2 5 2 2 2 2 2 2" xfId="32313" xr:uid="{00000000-0005-0000-0000-0000C3540000}"/>
    <cellStyle name="Output 2 5 2 2 2 2 3" xfId="19239" xr:uid="{00000000-0005-0000-0000-0000C4540000}"/>
    <cellStyle name="Output 2 5 2 2 2 3" xfId="14355" xr:uid="{00000000-0005-0000-0000-0000C5540000}"/>
    <cellStyle name="Output 2 5 2 2 2 3 2" xfId="29187" xr:uid="{00000000-0005-0000-0000-0000C6540000}"/>
    <cellStyle name="Output 2 5 2 2 2 4" xfId="11097" xr:uid="{00000000-0005-0000-0000-0000C7540000}"/>
    <cellStyle name="Output 2 5 2 2 2 4 2" xfId="25929" xr:uid="{00000000-0005-0000-0000-0000C8540000}"/>
    <cellStyle name="Output 2 5 2 2 3" xfId="4836" xr:uid="{00000000-0005-0000-0000-0000C9540000}"/>
    <cellStyle name="Output 2 5 2 2 3 2" xfId="8875" xr:uid="{00000000-0005-0000-0000-0000CA540000}"/>
    <cellStyle name="Output 2 5 2 2 3 2 2" xfId="17916" xr:uid="{00000000-0005-0000-0000-0000CB540000}"/>
    <cellStyle name="Output 2 5 2 2 3 2 2 2" xfId="32748" xr:uid="{00000000-0005-0000-0000-0000CC540000}"/>
    <cellStyle name="Output 2 5 2 2 3 2 3" xfId="19518" xr:uid="{00000000-0005-0000-0000-0000CD540000}"/>
    <cellStyle name="Output 2 5 2 2 3 3" xfId="15160" xr:uid="{00000000-0005-0000-0000-0000CE540000}"/>
    <cellStyle name="Output 2 5 2 2 3 3 2" xfId="29992" xr:uid="{00000000-0005-0000-0000-0000CF540000}"/>
    <cellStyle name="Output 2 5 2 2 3 4" xfId="11519" xr:uid="{00000000-0005-0000-0000-0000D0540000}"/>
    <cellStyle name="Output 2 5 2 2 3 4 2" xfId="26351" xr:uid="{00000000-0005-0000-0000-0000D1540000}"/>
    <cellStyle name="Output 2 5 2 2 4" xfId="2826" xr:uid="{00000000-0005-0000-0000-0000D2540000}"/>
    <cellStyle name="Output 2 5 2 2 4 2" xfId="6917" xr:uid="{00000000-0005-0000-0000-0000D3540000}"/>
    <cellStyle name="Output 2 5 2 2 4 2 2" xfId="16810" xr:uid="{00000000-0005-0000-0000-0000D4540000}"/>
    <cellStyle name="Output 2 5 2 2 4 2 2 2" xfId="31642" xr:uid="{00000000-0005-0000-0000-0000D5540000}"/>
    <cellStyle name="Output 2 5 2 2 4 2 3" xfId="18809" xr:uid="{00000000-0005-0000-0000-0000D6540000}"/>
    <cellStyle name="Output 2 5 2 2 4 3" xfId="13164" xr:uid="{00000000-0005-0000-0000-0000D7540000}"/>
    <cellStyle name="Output 2 5 2 2 4 3 2" xfId="27996" xr:uid="{00000000-0005-0000-0000-0000D8540000}"/>
    <cellStyle name="Output 2 5 2 2 4 4" xfId="10463" xr:uid="{00000000-0005-0000-0000-0000D9540000}"/>
    <cellStyle name="Output 2 5 2 2 4 4 2" xfId="25295" xr:uid="{00000000-0005-0000-0000-0000DA540000}"/>
    <cellStyle name="Output 2 5 2 2 5" xfId="5990" xr:uid="{00000000-0005-0000-0000-0000DB540000}"/>
    <cellStyle name="Output 2 5 2 2 5 2" xfId="16182" xr:uid="{00000000-0005-0000-0000-0000DC540000}"/>
    <cellStyle name="Output 2 5 2 2 5 2 2" xfId="31014" xr:uid="{00000000-0005-0000-0000-0000DD540000}"/>
    <cellStyle name="Output 2 5 2 2 5 3" xfId="18451" xr:uid="{00000000-0005-0000-0000-0000DE540000}"/>
    <cellStyle name="Output 2 5 2 2 6" xfId="12252" xr:uid="{00000000-0005-0000-0000-0000DF540000}"/>
    <cellStyle name="Output 2 5 2 2 6 2" xfId="27084" xr:uid="{00000000-0005-0000-0000-0000E0540000}"/>
    <cellStyle name="Output 2 5 2 2 7" xfId="9848" xr:uid="{00000000-0005-0000-0000-0000E1540000}"/>
    <cellStyle name="Output 2 5 2 2 7 2" xfId="24774" xr:uid="{00000000-0005-0000-0000-0000E2540000}"/>
    <cellStyle name="Output 2 5 2 3" xfId="3703" xr:uid="{00000000-0005-0000-0000-0000E3540000}"/>
    <cellStyle name="Output 2 5 2 3 2" xfId="7759" xr:uid="{00000000-0005-0000-0000-0000E4540000}"/>
    <cellStyle name="Output 2 5 2 3 2 2" xfId="17325" xr:uid="{00000000-0005-0000-0000-0000E5540000}"/>
    <cellStyle name="Output 2 5 2 3 2 2 2" xfId="32157" xr:uid="{00000000-0005-0000-0000-0000E6540000}"/>
    <cellStyle name="Output 2 5 2 3 2 3" xfId="19128" xr:uid="{00000000-0005-0000-0000-0000E7540000}"/>
    <cellStyle name="Output 2 5 2 3 3" xfId="14038" xr:uid="{00000000-0005-0000-0000-0000E8540000}"/>
    <cellStyle name="Output 2 5 2 3 3 2" xfId="28870" xr:uid="{00000000-0005-0000-0000-0000E9540000}"/>
    <cellStyle name="Output 2 5 2 3 4" xfId="10943" xr:uid="{00000000-0005-0000-0000-0000EA540000}"/>
    <cellStyle name="Output 2 5 2 3 4 2" xfId="25775" xr:uid="{00000000-0005-0000-0000-0000EB540000}"/>
    <cellStyle name="Output 2 5 2 4" xfId="4416" xr:uid="{00000000-0005-0000-0000-0000EC540000}"/>
    <cellStyle name="Output 2 5 2 4 2" xfId="8455" xr:uid="{00000000-0005-0000-0000-0000ED540000}"/>
    <cellStyle name="Output 2 5 2 4 2 2" xfId="17676" xr:uid="{00000000-0005-0000-0000-0000EE540000}"/>
    <cellStyle name="Output 2 5 2 4 2 2 2" xfId="32508" xr:uid="{00000000-0005-0000-0000-0000EF540000}"/>
    <cellStyle name="Output 2 5 2 4 2 3" xfId="19358" xr:uid="{00000000-0005-0000-0000-0000F0540000}"/>
    <cellStyle name="Output 2 5 2 4 3" xfId="14745" xr:uid="{00000000-0005-0000-0000-0000F1540000}"/>
    <cellStyle name="Output 2 5 2 4 3 2" xfId="29577" xr:uid="{00000000-0005-0000-0000-0000F2540000}"/>
    <cellStyle name="Output 2 5 2 4 4" xfId="11284" xr:uid="{00000000-0005-0000-0000-0000F3540000}"/>
    <cellStyle name="Output 2 5 2 4 4 2" xfId="26116" xr:uid="{00000000-0005-0000-0000-0000F4540000}"/>
    <cellStyle name="Output 2 5 2 5" xfId="2406" xr:uid="{00000000-0005-0000-0000-0000F5540000}"/>
    <cellStyle name="Output 2 5 2 5 2" xfId="6518" xr:uid="{00000000-0005-0000-0000-0000F6540000}"/>
    <cellStyle name="Output 2 5 2 5 2 2" xfId="16574" xr:uid="{00000000-0005-0000-0000-0000F7540000}"/>
    <cellStyle name="Output 2 5 2 5 2 2 2" xfId="31406" xr:uid="{00000000-0005-0000-0000-0000F8540000}"/>
    <cellStyle name="Output 2 5 2 5 2 3" xfId="18646" xr:uid="{00000000-0005-0000-0000-0000F9540000}"/>
    <cellStyle name="Output 2 5 2 5 3" xfId="12745" xr:uid="{00000000-0005-0000-0000-0000FA540000}"/>
    <cellStyle name="Output 2 5 2 5 3 2" xfId="27577" xr:uid="{00000000-0005-0000-0000-0000FB540000}"/>
    <cellStyle name="Output 2 5 2 5 4" xfId="10224" xr:uid="{00000000-0005-0000-0000-0000FC540000}"/>
    <cellStyle name="Output 2 5 2 5 4 2" xfId="25056" xr:uid="{00000000-0005-0000-0000-0000FD540000}"/>
    <cellStyle name="Output 2 5 2 6" xfId="5531" xr:uid="{00000000-0005-0000-0000-0000FE540000}"/>
    <cellStyle name="Output 2 5 2 6 2" xfId="15766" xr:uid="{00000000-0005-0000-0000-0000FF540000}"/>
    <cellStyle name="Output 2 5 2 6 2 2" xfId="30598" xr:uid="{00000000-0005-0000-0000-000000550000}"/>
    <cellStyle name="Output 2 5 2 6 3" xfId="18288" xr:uid="{00000000-0005-0000-0000-000001550000}"/>
    <cellStyle name="Output 2 5 2 7" xfId="11781" xr:uid="{00000000-0005-0000-0000-000002550000}"/>
    <cellStyle name="Output 2 5 2 7 2" xfId="26613" xr:uid="{00000000-0005-0000-0000-000003550000}"/>
    <cellStyle name="Output 2 5 2 8" xfId="9452" xr:uid="{00000000-0005-0000-0000-000004550000}"/>
    <cellStyle name="Output 2 5 2 8 2" xfId="19756" xr:uid="{00000000-0005-0000-0000-000005550000}"/>
    <cellStyle name="Output 2 5 3" xfId="1524" xr:uid="{00000000-0005-0000-0000-000006550000}"/>
    <cellStyle name="Output 2 5 3 2" xfId="2021" xr:uid="{00000000-0005-0000-0000-000007550000}"/>
    <cellStyle name="Output 2 5 3 2 2" xfId="3438" xr:uid="{00000000-0005-0000-0000-000008550000}"/>
    <cellStyle name="Output 2 5 3 2 2 2" xfId="7501" xr:uid="{00000000-0005-0000-0000-000009550000}"/>
    <cellStyle name="Output 2 5 3 2 2 2 2" xfId="17189" xr:uid="{00000000-0005-0000-0000-00000A550000}"/>
    <cellStyle name="Output 2 5 3 2 2 2 2 2" xfId="32021" xr:uid="{00000000-0005-0000-0000-00000B550000}"/>
    <cellStyle name="Output 2 5 3 2 2 2 3" xfId="19035" xr:uid="{00000000-0005-0000-0000-00000C550000}"/>
    <cellStyle name="Output 2 5 3 2 2 3" xfId="13775" xr:uid="{00000000-0005-0000-0000-00000D550000}"/>
    <cellStyle name="Output 2 5 3 2 2 3 2" xfId="28607" xr:uid="{00000000-0005-0000-0000-00000E550000}"/>
    <cellStyle name="Output 2 5 3 2 2 4" xfId="10808" xr:uid="{00000000-0005-0000-0000-00000F550000}"/>
    <cellStyle name="Output 2 5 3 2 2 4 2" xfId="25640" xr:uid="{00000000-0005-0000-0000-000010550000}"/>
    <cellStyle name="Output 2 5 3 2 3" xfId="4989" xr:uid="{00000000-0005-0000-0000-000011550000}"/>
    <cellStyle name="Output 2 5 3 2 3 2" xfId="9028" xr:uid="{00000000-0005-0000-0000-000012550000}"/>
    <cellStyle name="Output 2 5 3 2 3 2 2" xfId="17966" xr:uid="{00000000-0005-0000-0000-000013550000}"/>
    <cellStyle name="Output 2 5 3 2 3 2 2 2" xfId="32798" xr:uid="{00000000-0005-0000-0000-000014550000}"/>
    <cellStyle name="Output 2 5 3 2 3 2 3" xfId="19550" xr:uid="{00000000-0005-0000-0000-000015550000}"/>
    <cellStyle name="Output 2 5 3 2 3 3" xfId="15311" xr:uid="{00000000-0005-0000-0000-000016550000}"/>
    <cellStyle name="Output 2 5 3 2 3 3 2" xfId="30143" xr:uid="{00000000-0005-0000-0000-000017550000}"/>
    <cellStyle name="Output 2 5 3 2 3 4" xfId="11567" xr:uid="{00000000-0005-0000-0000-000018550000}"/>
    <cellStyle name="Output 2 5 3 2 3 4 2" xfId="26399" xr:uid="{00000000-0005-0000-0000-000019550000}"/>
    <cellStyle name="Output 2 5 3 2 4" xfId="2979" xr:uid="{00000000-0005-0000-0000-00001A550000}"/>
    <cellStyle name="Output 2 5 3 2 4 2" xfId="7059" xr:uid="{00000000-0005-0000-0000-00001B550000}"/>
    <cellStyle name="Output 2 5 3 2 4 2 2" xfId="16858" xr:uid="{00000000-0005-0000-0000-00001C550000}"/>
    <cellStyle name="Output 2 5 3 2 4 2 2 2" xfId="31690" xr:uid="{00000000-0005-0000-0000-00001D550000}"/>
    <cellStyle name="Output 2 5 3 2 4 2 3" xfId="18842" xr:uid="{00000000-0005-0000-0000-00001E550000}"/>
    <cellStyle name="Output 2 5 3 2 4 3" xfId="13317" xr:uid="{00000000-0005-0000-0000-00001F550000}"/>
    <cellStyle name="Output 2 5 3 2 4 3 2" xfId="28149" xr:uid="{00000000-0005-0000-0000-000020550000}"/>
    <cellStyle name="Output 2 5 3 2 4 4" xfId="10513" xr:uid="{00000000-0005-0000-0000-000021550000}"/>
    <cellStyle name="Output 2 5 3 2 4 4 2" xfId="25345" xr:uid="{00000000-0005-0000-0000-000022550000}"/>
    <cellStyle name="Output 2 5 3 2 5" xfId="6151" xr:uid="{00000000-0005-0000-0000-000023550000}"/>
    <cellStyle name="Output 2 5 3 2 5 2" xfId="16338" xr:uid="{00000000-0005-0000-0000-000024550000}"/>
    <cellStyle name="Output 2 5 3 2 5 2 2" xfId="31170" xr:uid="{00000000-0005-0000-0000-000025550000}"/>
    <cellStyle name="Output 2 5 3 2 5 3" xfId="18483" xr:uid="{00000000-0005-0000-0000-000026550000}"/>
    <cellStyle name="Output 2 5 3 2 6" xfId="12408" xr:uid="{00000000-0005-0000-0000-000027550000}"/>
    <cellStyle name="Output 2 5 3 2 6 2" xfId="27240" xr:uid="{00000000-0005-0000-0000-000028550000}"/>
    <cellStyle name="Output 2 5 3 2 7" xfId="9990" xr:uid="{00000000-0005-0000-0000-000029550000}"/>
    <cellStyle name="Output 2 5 3 2 7 2" xfId="24822" xr:uid="{00000000-0005-0000-0000-00002A550000}"/>
    <cellStyle name="Output 2 5 3 3" xfId="3201" xr:uid="{00000000-0005-0000-0000-00002B550000}"/>
    <cellStyle name="Output 2 5 3 3 2" xfId="7265" xr:uid="{00000000-0005-0000-0000-00002C550000}"/>
    <cellStyle name="Output 2 5 3 3 2 2" xfId="17032" xr:uid="{00000000-0005-0000-0000-00002D550000}"/>
    <cellStyle name="Output 2 5 3 3 2 2 2" xfId="31864" xr:uid="{00000000-0005-0000-0000-00002E550000}"/>
    <cellStyle name="Output 2 5 3 3 2 3" xfId="18960" xr:uid="{00000000-0005-0000-0000-00002F550000}"/>
    <cellStyle name="Output 2 5 3 3 3" xfId="13539" xr:uid="{00000000-0005-0000-0000-000030550000}"/>
    <cellStyle name="Output 2 5 3 3 3 2" xfId="28371" xr:uid="{00000000-0005-0000-0000-000031550000}"/>
    <cellStyle name="Output 2 5 3 3 4" xfId="10676" xr:uid="{00000000-0005-0000-0000-000032550000}"/>
    <cellStyle name="Output 2 5 3 3 4 2" xfId="25508" xr:uid="{00000000-0005-0000-0000-000033550000}"/>
    <cellStyle name="Output 2 5 3 4" xfId="4569" xr:uid="{00000000-0005-0000-0000-000034550000}"/>
    <cellStyle name="Output 2 5 3 4 2" xfId="8608" xr:uid="{00000000-0005-0000-0000-000035550000}"/>
    <cellStyle name="Output 2 5 3 4 2 2" xfId="17726" xr:uid="{00000000-0005-0000-0000-000036550000}"/>
    <cellStyle name="Output 2 5 3 4 2 2 2" xfId="32558" xr:uid="{00000000-0005-0000-0000-000037550000}"/>
    <cellStyle name="Output 2 5 3 4 2 3" xfId="19390" xr:uid="{00000000-0005-0000-0000-000038550000}"/>
    <cellStyle name="Output 2 5 3 4 3" xfId="14896" xr:uid="{00000000-0005-0000-0000-000039550000}"/>
    <cellStyle name="Output 2 5 3 4 3 2" xfId="29728" xr:uid="{00000000-0005-0000-0000-00003A550000}"/>
    <cellStyle name="Output 2 5 3 4 4" xfId="11332" xr:uid="{00000000-0005-0000-0000-00003B550000}"/>
    <cellStyle name="Output 2 5 3 4 4 2" xfId="26164" xr:uid="{00000000-0005-0000-0000-00003C550000}"/>
    <cellStyle name="Output 2 5 3 5" xfId="2559" xr:uid="{00000000-0005-0000-0000-00003D550000}"/>
    <cellStyle name="Output 2 5 3 5 2" xfId="6665" xr:uid="{00000000-0005-0000-0000-00003E550000}"/>
    <cellStyle name="Output 2 5 3 5 2 2" xfId="16623" xr:uid="{00000000-0005-0000-0000-00003F550000}"/>
    <cellStyle name="Output 2 5 3 5 2 2 2" xfId="31455" xr:uid="{00000000-0005-0000-0000-000040550000}"/>
    <cellStyle name="Output 2 5 3 5 2 3" xfId="18678" xr:uid="{00000000-0005-0000-0000-000041550000}"/>
    <cellStyle name="Output 2 5 3 5 3" xfId="12897" xr:uid="{00000000-0005-0000-0000-000042550000}"/>
    <cellStyle name="Output 2 5 3 5 3 2" xfId="27729" xr:uid="{00000000-0005-0000-0000-000043550000}"/>
    <cellStyle name="Output 2 5 3 5 4" xfId="10273" xr:uid="{00000000-0005-0000-0000-000044550000}"/>
    <cellStyle name="Output 2 5 3 5 4 2" xfId="25105" xr:uid="{00000000-0005-0000-0000-000045550000}"/>
    <cellStyle name="Output 2 5 3 6" xfId="5682" xr:uid="{00000000-0005-0000-0000-000046550000}"/>
    <cellStyle name="Output 2 5 3 6 2" xfId="15917" xr:uid="{00000000-0005-0000-0000-000047550000}"/>
    <cellStyle name="Output 2 5 3 6 2 2" xfId="30749" xr:uid="{00000000-0005-0000-0000-000048550000}"/>
    <cellStyle name="Output 2 5 3 6 3" xfId="18320" xr:uid="{00000000-0005-0000-0000-000049550000}"/>
    <cellStyle name="Output 2 5 3 7" xfId="11937" xr:uid="{00000000-0005-0000-0000-00004A550000}"/>
    <cellStyle name="Output 2 5 3 7 2" xfId="26769" xr:uid="{00000000-0005-0000-0000-00004B550000}"/>
    <cellStyle name="Output 2 5 3 8" xfId="9595" xr:uid="{00000000-0005-0000-0000-00004C550000}"/>
    <cellStyle name="Output 2 5 3 8 2" xfId="19897" xr:uid="{00000000-0005-0000-0000-00004D550000}"/>
    <cellStyle name="Output 2 5 4" xfId="1579" xr:uid="{00000000-0005-0000-0000-00004E550000}"/>
    <cellStyle name="Output 2 5 4 2" xfId="2076" xr:uid="{00000000-0005-0000-0000-00004F550000}"/>
    <cellStyle name="Output 2 5 4 2 2" xfId="4061" xr:uid="{00000000-0005-0000-0000-000050550000}"/>
    <cellStyle name="Output 2 5 4 2 2 2" xfId="8108" xr:uid="{00000000-0005-0000-0000-000051550000}"/>
    <cellStyle name="Output 2 5 4 2 2 2 2" xfId="17498" xr:uid="{00000000-0005-0000-0000-000052550000}"/>
    <cellStyle name="Output 2 5 4 2 2 2 2 2" xfId="32330" xr:uid="{00000000-0005-0000-0000-000053550000}"/>
    <cellStyle name="Output 2 5 4 2 2 2 3" xfId="19251" xr:uid="{00000000-0005-0000-0000-000054550000}"/>
    <cellStyle name="Output 2 5 4 2 2 3" xfId="14393" xr:uid="{00000000-0005-0000-0000-000055550000}"/>
    <cellStyle name="Output 2 5 4 2 2 3 2" xfId="29225" xr:uid="{00000000-0005-0000-0000-000056550000}"/>
    <cellStyle name="Output 2 5 4 2 2 4" xfId="11114" xr:uid="{00000000-0005-0000-0000-000057550000}"/>
    <cellStyle name="Output 2 5 4 2 2 4 2" xfId="25946" xr:uid="{00000000-0005-0000-0000-000058550000}"/>
    <cellStyle name="Output 2 5 4 2 3" xfId="5044" xr:uid="{00000000-0005-0000-0000-000059550000}"/>
    <cellStyle name="Output 2 5 4 2 3 2" xfId="9083" xr:uid="{00000000-0005-0000-0000-00005A550000}"/>
    <cellStyle name="Output 2 5 4 2 3 2 2" xfId="18016" xr:uid="{00000000-0005-0000-0000-00005B550000}"/>
    <cellStyle name="Output 2 5 4 2 3 2 2 2" xfId="32848" xr:uid="{00000000-0005-0000-0000-00005C550000}"/>
    <cellStyle name="Output 2 5 4 2 3 2 3" xfId="19582" xr:uid="{00000000-0005-0000-0000-00005D550000}"/>
    <cellStyle name="Output 2 5 4 2 3 3" xfId="15365" xr:uid="{00000000-0005-0000-0000-00005E550000}"/>
    <cellStyle name="Output 2 5 4 2 3 3 2" xfId="30197" xr:uid="{00000000-0005-0000-0000-00005F550000}"/>
    <cellStyle name="Output 2 5 4 2 3 4" xfId="11616" xr:uid="{00000000-0005-0000-0000-000060550000}"/>
    <cellStyle name="Output 2 5 4 2 3 4 2" xfId="26448" xr:uid="{00000000-0005-0000-0000-000061550000}"/>
    <cellStyle name="Output 2 5 4 2 4" xfId="3034" xr:uid="{00000000-0005-0000-0000-000062550000}"/>
    <cellStyle name="Output 2 5 4 2 4 2" xfId="7109" xr:uid="{00000000-0005-0000-0000-000063550000}"/>
    <cellStyle name="Output 2 5 4 2 4 2 2" xfId="16907" xr:uid="{00000000-0005-0000-0000-000064550000}"/>
    <cellStyle name="Output 2 5 4 2 4 2 2 2" xfId="31739" xr:uid="{00000000-0005-0000-0000-000065550000}"/>
    <cellStyle name="Output 2 5 4 2 4 2 3" xfId="18875" xr:uid="{00000000-0005-0000-0000-000066550000}"/>
    <cellStyle name="Output 2 5 4 2 4 3" xfId="13372" xr:uid="{00000000-0005-0000-0000-000067550000}"/>
    <cellStyle name="Output 2 5 4 2 4 3 2" xfId="28204" xr:uid="{00000000-0005-0000-0000-000068550000}"/>
    <cellStyle name="Output 2 5 4 2 4 4" xfId="10563" xr:uid="{00000000-0005-0000-0000-000069550000}"/>
    <cellStyle name="Output 2 5 4 2 4 4 2" xfId="25395" xr:uid="{00000000-0005-0000-0000-00006A550000}"/>
    <cellStyle name="Output 2 5 4 2 5" xfId="6201" xr:uid="{00000000-0005-0000-0000-00006B550000}"/>
    <cellStyle name="Output 2 5 4 2 5 2" xfId="16387" xr:uid="{00000000-0005-0000-0000-00006C550000}"/>
    <cellStyle name="Output 2 5 4 2 5 2 2" xfId="31219" xr:uid="{00000000-0005-0000-0000-00006D550000}"/>
    <cellStyle name="Output 2 5 4 2 5 3" xfId="18516" xr:uid="{00000000-0005-0000-0000-00006E550000}"/>
    <cellStyle name="Output 2 5 4 2 6" xfId="12457" xr:uid="{00000000-0005-0000-0000-00006F550000}"/>
    <cellStyle name="Output 2 5 4 2 6 2" xfId="27289" xr:uid="{00000000-0005-0000-0000-000070550000}"/>
    <cellStyle name="Output 2 5 4 2 7" xfId="10039" xr:uid="{00000000-0005-0000-0000-000071550000}"/>
    <cellStyle name="Output 2 5 4 2 7 2" xfId="24871" xr:uid="{00000000-0005-0000-0000-000072550000}"/>
    <cellStyle name="Output 2 5 4 3" xfId="3426" xr:uid="{00000000-0005-0000-0000-000073550000}"/>
    <cellStyle name="Output 2 5 4 3 2" xfId="7489" xr:uid="{00000000-0005-0000-0000-000074550000}"/>
    <cellStyle name="Output 2 5 4 3 2 2" xfId="17184" xr:uid="{00000000-0005-0000-0000-000075550000}"/>
    <cellStyle name="Output 2 5 4 3 2 2 2" xfId="32016" xr:uid="{00000000-0005-0000-0000-000076550000}"/>
    <cellStyle name="Output 2 5 4 3 2 3" xfId="19032" xr:uid="{00000000-0005-0000-0000-000077550000}"/>
    <cellStyle name="Output 2 5 4 3 3" xfId="13763" xr:uid="{00000000-0005-0000-0000-000078550000}"/>
    <cellStyle name="Output 2 5 4 3 3 2" xfId="28595" xr:uid="{00000000-0005-0000-0000-000079550000}"/>
    <cellStyle name="Output 2 5 4 3 4" xfId="10803" xr:uid="{00000000-0005-0000-0000-00007A550000}"/>
    <cellStyle name="Output 2 5 4 3 4 2" xfId="25635" xr:uid="{00000000-0005-0000-0000-00007B550000}"/>
    <cellStyle name="Output 2 5 4 4" xfId="4624" xr:uid="{00000000-0005-0000-0000-00007C550000}"/>
    <cellStyle name="Output 2 5 4 4 2" xfId="8663" xr:uid="{00000000-0005-0000-0000-00007D550000}"/>
    <cellStyle name="Output 2 5 4 4 2 2" xfId="17776" xr:uid="{00000000-0005-0000-0000-00007E550000}"/>
    <cellStyle name="Output 2 5 4 4 2 2 2" xfId="32608" xr:uid="{00000000-0005-0000-0000-00007F550000}"/>
    <cellStyle name="Output 2 5 4 4 2 3" xfId="19422" xr:uid="{00000000-0005-0000-0000-000080550000}"/>
    <cellStyle name="Output 2 5 4 4 3" xfId="14950" xr:uid="{00000000-0005-0000-0000-000081550000}"/>
    <cellStyle name="Output 2 5 4 4 3 2" xfId="29782" xr:uid="{00000000-0005-0000-0000-000082550000}"/>
    <cellStyle name="Output 2 5 4 4 4" xfId="11381" xr:uid="{00000000-0005-0000-0000-000083550000}"/>
    <cellStyle name="Output 2 5 4 4 4 2" xfId="26213" xr:uid="{00000000-0005-0000-0000-000084550000}"/>
    <cellStyle name="Output 2 5 4 5" xfId="2614" xr:uid="{00000000-0005-0000-0000-000085550000}"/>
    <cellStyle name="Output 2 5 4 5 2" xfId="6715" xr:uid="{00000000-0005-0000-0000-000086550000}"/>
    <cellStyle name="Output 2 5 4 5 2 2" xfId="16672" xr:uid="{00000000-0005-0000-0000-000087550000}"/>
    <cellStyle name="Output 2 5 4 5 2 2 2" xfId="31504" xr:uid="{00000000-0005-0000-0000-000088550000}"/>
    <cellStyle name="Output 2 5 4 5 2 3" xfId="18711" xr:uid="{00000000-0005-0000-0000-000089550000}"/>
    <cellStyle name="Output 2 5 4 5 3" xfId="12952" xr:uid="{00000000-0005-0000-0000-00008A550000}"/>
    <cellStyle name="Output 2 5 4 5 3 2" xfId="27784" xr:uid="{00000000-0005-0000-0000-00008B550000}"/>
    <cellStyle name="Output 2 5 4 5 4" xfId="10323" xr:uid="{00000000-0005-0000-0000-00008C550000}"/>
    <cellStyle name="Output 2 5 4 5 4 2" xfId="25155" xr:uid="{00000000-0005-0000-0000-00008D550000}"/>
    <cellStyle name="Output 2 5 4 6" xfId="5731" xr:uid="{00000000-0005-0000-0000-00008E550000}"/>
    <cellStyle name="Output 2 5 4 6 2" xfId="15966" xr:uid="{00000000-0005-0000-0000-00008F550000}"/>
    <cellStyle name="Output 2 5 4 6 2 2" xfId="30798" xr:uid="{00000000-0005-0000-0000-000090550000}"/>
    <cellStyle name="Output 2 5 4 6 3" xfId="18352" xr:uid="{00000000-0005-0000-0000-000091550000}"/>
    <cellStyle name="Output 2 5 4 7" xfId="11986" xr:uid="{00000000-0005-0000-0000-000092550000}"/>
    <cellStyle name="Output 2 5 4 7 2" xfId="26818" xr:uid="{00000000-0005-0000-0000-000093550000}"/>
    <cellStyle name="Output 2 5 4 8" xfId="9645" xr:uid="{00000000-0005-0000-0000-000094550000}"/>
    <cellStyle name="Output 2 5 4 8 2" xfId="19946" xr:uid="{00000000-0005-0000-0000-000095550000}"/>
    <cellStyle name="Output 2 5 5" xfId="1629" xr:uid="{00000000-0005-0000-0000-000096550000}"/>
    <cellStyle name="Output 2 5 5 2" xfId="2126" xr:uid="{00000000-0005-0000-0000-000097550000}"/>
    <cellStyle name="Output 2 5 5 2 2" xfId="3629" xr:uid="{00000000-0005-0000-0000-000098550000}"/>
    <cellStyle name="Output 2 5 5 2 2 2" xfId="7688" xr:uid="{00000000-0005-0000-0000-000099550000}"/>
    <cellStyle name="Output 2 5 5 2 2 2 2" xfId="17289" xr:uid="{00000000-0005-0000-0000-00009A550000}"/>
    <cellStyle name="Output 2 5 5 2 2 2 2 2" xfId="32121" xr:uid="{00000000-0005-0000-0000-00009B550000}"/>
    <cellStyle name="Output 2 5 5 2 2 2 3" xfId="19103" xr:uid="{00000000-0005-0000-0000-00009C550000}"/>
    <cellStyle name="Output 2 5 5 2 2 3" xfId="13964" xr:uid="{00000000-0005-0000-0000-00009D550000}"/>
    <cellStyle name="Output 2 5 5 2 2 3 2" xfId="28796" xr:uid="{00000000-0005-0000-0000-00009E550000}"/>
    <cellStyle name="Output 2 5 5 2 2 4" xfId="10905" xr:uid="{00000000-0005-0000-0000-00009F550000}"/>
    <cellStyle name="Output 2 5 5 2 2 4 2" xfId="25737" xr:uid="{00000000-0005-0000-0000-0000A0550000}"/>
    <cellStyle name="Output 2 5 5 2 3" xfId="5094" xr:uid="{00000000-0005-0000-0000-0000A1550000}"/>
    <cellStyle name="Output 2 5 5 2 3 2" xfId="9133" xr:uid="{00000000-0005-0000-0000-0000A2550000}"/>
    <cellStyle name="Output 2 5 5 2 3 2 2" xfId="18061" xr:uid="{00000000-0005-0000-0000-0000A3550000}"/>
    <cellStyle name="Output 2 5 5 2 3 2 2 2" xfId="32893" xr:uid="{00000000-0005-0000-0000-0000A4550000}"/>
    <cellStyle name="Output 2 5 5 2 3 2 3" xfId="19614" xr:uid="{00000000-0005-0000-0000-0000A5550000}"/>
    <cellStyle name="Output 2 5 5 2 3 3" xfId="15414" xr:uid="{00000000-0005-0000-0000-0000A6550000}"/>
    <cellStyle name="Output 2 5 5 2 3 3 2" xfId="30246" xr:uid="{00000000-0005-0000-0000-0000A7550000}"/>
    <cellStyle name="Output 2 5 5 2 3 4" xfId="11660" xr:uid="{00000000-0005-0000-0000-0000A8550000}"/>
    <cellStyle name="Output 2 5 5 2 3 4 2" xfId="26492" xr:uid="{00000000-0005-0000-0000-0000A9550000}"/>
    <cellStyle name="Output 2 5 5 2 4" xfId="3084" xr:uid="{00000000-0005-0000-0000-0000AA550000}"/>
    <cellStyle name="Output 2 5 5 2 4 2" xfId="7154" xr:uid="{00000000-0005-0000-0000-0000AB550000}"/>
    <cellStyle name="Output 2 5 5 2 4 2 2" xfId="16951" xr:uid="{00000000-0005-0000-0000-0000AC550000}"/>
    <cellStyle name="Output 2 5 5 2 4 2 2 2" xfId="31783" xr:uid="{00000000-0005-0000-0000-0000AD550000}"/>
    <cellStyle name="Output 2 5 5 2 4 2 3" xfId="18908" xr:uid="{00000000-0005-0000-0000-0000AE550000}"/>
    <cellStyle name="Output 2 5 5 2 4 3" xfId="13422" xr:uid="{00000000-0005-0000-0000-0000AF550000}"/>
    <cellStyle name="Output 2 5 5 2 4 3 2" xfId="28254" xr:uid="{00000000-0005-0000-0000-0000B0550000}"/>
    <cellStyle name="Output 2 5 5 2 4 4" xfId="10608" xr:uid="{00000000-0005-0000-0000-0000B1550000}"/>
    <cellStyle name="Output 2 5 5 2 4 4 2" xfId="25440" xr:uid="{00000000-0005-0000-0000-0000B2550000}"/>
    <cellStyle name="Output 2 5 5 2 5" xfId="6246" xr:uid="{00000000-0005-0000-0000-0000B3550000}"/>
    <cellStyle name="Output 2 5 5 2 5 2" xfId="16431" xr:uid="{00000000-0005-0000-0000-0000B4550000}"/>
    <cellStyle name="Output 2 5 5 2 5 2 2" xfId="31263" xr:uid="{00000000-0005-0000-0000-0000B5550000}"/>
    <cellStyle name="Output 2 5 5 2 5 3" xfId="18549" xr:uid="{00000000-0005-0000-0000-0000B6550000}"/>
    <cellStyle name="Output 2 5 5 2 6" xfId="12501" xr:uid="{00000000-0005-0000-0000-0000B7550000}"/>
    <cellStyle name="Output 2 5 5 2 6 2" xfId="27333" xr:uid="{00000000-0005-0000-0000-0000B8550000}"/>
    <cellStyle name="Output 2 5 5 2 7" xfId="10083" xr:uid="{00000000-0005-0000-0000-0000B9550000}"/>
    <cellStyle name="Output 2 5 5 2 7 2" xfId="24915" xr:uid="{00000000-0005-0000-0000-0000BA550000}"/>
    <cellStyle name="Output 2 5 5 3" xfId="4133" xr:uid="{00000000-0005-0000-0000-0000BB550000}"/>
    <cellStyle name="Output 2 5 5 3 2" xfId="8177" xr:uid="{00000000-0005-0000-0000-0000BC550000}"/>
    <cellStyle name="Output 2 5 5 3 2 2" xfId="17535" xr:uid="{00000000-0005-0000-0000-0000BD550000}"/>
    <cellStyle name="Output 2 5 5 3 2 2 2" xfId="32367" xr:uid="{00000000-0005-0000-0000-0000BE550000}"/>
    <cellStyle name="Output 2 5 5 3 2 3" xfId="19279" xr:uid="{00000000-0005-0000-0000-0000BF550000}"/>
    <cellStyle name="Output 2 5 5 3 3" xfId="14465" xr:uid="{00000000-0005-0000-0000-0000C0550000}"/>
    <cellStyle name="Output 2 5 5 3 3 2" xfId="29297" xr:uid="{00000000-0005-0000-0000-0000C1550000}"/>
    <cellStyle name="Output 2 5 5 3 4" xfId="11153" xr:uid="{00000000-0005-0000-0000-0000C2550000}"/>
    <cellStyle name="Output 2 5 5 3 4 2" xfId="25985" xr:uid="{00000000-0005-0000-0000-0000C3550000}"/>
    <cellStyle name="Output 2 5 5 4" xfId="4674" xr:uid="{00000000-0005-0000-0000-0000C4550000}"/>
    <cellStyle name="Output 2 5 5 4 2" xfId="8713" xr:uid="{00000000-0005-0000-0000-0000C5550000}"/>
    <cellStyle name="Output 2 5 5 4 2 2" xfId="17821" xr:uid="{00000000-0005-0000-0000-0000C6550000}"/>
    <cellStyle name="Output 2 5 5 4 2 2 2" xfId="32653" xr:uid="{00000000-0005-0000-0000-0000C7550000}"/>
    <cellStyle name="Output 2 5 5 4 2 3" xfId="19454" xr:uid="{00000000-0005-0000-0000-0000C8550000}"/>
    <cellStyle name="Output 2 5 5 4 3" xfId="14999" xr:uid="{00000000-0005-0000-0000-0000C9550000}"/>
    <cellStyle name="Output 2 5 5 4 3 2" xfId="29831" xr:uid="{00000000-0005-0000-0000-0000CA550000}"/>
    <cellStyle name="Output 2 5 5 4 4" xfId="11425" xr:uid="{00000000-0005-0000-0000-0000CB550000}"/>
    <cellStyle name="Output 2 5 5 4 4 2" xfId="26257" xr:uid="{00000000-0005-0000-0000-0000CC550000}"/>
    <cellStyle name="Output 2 5 5 5" xfId="2664" xr:uid="{00000000-0005-0000-0000-0000CD550000}"/>
    <cellStyle name="Output 2 5 5 5 2" xfId="6760" xr:uid="{00000000-0005-0000-0000-0000CE550000}"/>
    <cellStyle name="Output 2 5 5 5 2 2" xfId="16716" xr:uid="{00000000-0005-0000-0000-0000CF550000}"/>
    <cellStyle name="Output 2 5 5 5 2 2 2" xfId="31548" xr:uid="{00000000-0005-0000-0000-0000D0550000}"/>
    <cellStyle name="Output 2 5 5 5 2 3" xfId="18744" xr:uid="{00000000-0005-0000-0000-0000D1550000}"/>
    <cellStyle name="Output 2 5 5 5 3" xfId="13002" xr:uid="{00000000-0005-0000-0000-0000D2550000}"/>
    <cellStyle name="Output 2 5 5 5 3 2" xfId="27834" xr:uid="{00000000-0005-0000-0000-0000D3550000}"/>
    <cellStyle name="Output 2 5 5 5 4" xfId="10368" xr:uid="{00000000-0005-0000-0000-0000D4550000}"/>
    <cellStyle name="Output 2 5 5 5 4 2" xfId="25200" xr:uid="{00000000-0005-0000-0000-0000D5550000}"/>
    <cellStyle name="Output 2 5 5 6" xfId="5776" xr:uid="{00000000-0005-0000-0000-0000D6550000}"/>
    <cellStyle name="Output 2 5 5 6 2" xfId="16010" xr:uid="{00000000-0005-0000-0000-0000D7550000}"/>
    <cellStyle name="Output 2 5 5 6 2 2" xfId="30842" xr:uid="{00000000-0005-0000-0000-0000D8550000}"/>
    <cellStyle name="Output 2 5 5 6 3" xfId="18385" xr:uid="{00000000-0005-0000-0000-0000D9550000}"/>
    <cellStyle name="Output 2 5 5 7" xfId="12030" xr:uid="{00000000-0005-0000-0000-0000DA550000}"/>
    <cellStyle name="Output 2 5 5 7 2" xfId="26862" xr:uid="{00000000-0005-0000-0000-0000DB550000}"/>
    <cellStyle name="Output 2 5 5 8" xfId="9690" xr:uid="{00000000-0005-0000-0000-0000DC550000}"/>
    <cellStyle name="Output 2 5 5 8 2" xfId="19990" xr:uid="{00000000-0005-0000-0000-0000DD550000}"/>
    <cellStyle name="Output 2 5 6" xfId="1780" xr:uid="{00000000-0005-0000-0000-0000DE550000}"/>
    <cellStyle name="Output 2 5 6 2" xfId="3826" xr:uid="{00000000-0005-0000-0000-0000DF550000}"/>
    <cellStyle name="Output 2 5 6 2 2" xfId="7879" xr:uid="{00000000-0005-0000-0000-0000E0550000}"/>
    <cellStyle name="Output 2 5 6 2 2 2" xfId="17383" xr:uid="{00000000-0005-0000-0000-0000E1550000}"/>
    <cellStyle name="Output 2 5 6 2 2 2 2" xfId="32215" xr:uid="{00000000-0005-0000-0000-0000E2550000}"/>
    <cellStyle name="Output 2 5 6 2 2 3" xfId="19167" xr:uid="{00000000-0005-0000-0000-0000E3550000}"/>
    <cellStyle name="Output 2 5 6 2 3" xfId="14161" xr:uid="{00000000-0005-0000-0000-0000E4550000}"/>
    <cellStyle name="Output 2 5 6 2 3 2" xfId="28993" xr:uid="{00000000-0005-0000-0000-0000E5550000}"/>
    <cellStyle name="Output 2 5 6 2 4" xfId="11002" xr:uid="{00000000-0005-0000-0000-0000E6550000}"/>
    <cellStyle name="Output 2 5 6 2 4 2" xfId="25834" xr:uid="{00000000-0005-0000-0000-0000E7550000}"/>
    <cellStyle name="Output 2 5 6 3" xfId="4758" xr:uid="{00000000-0005-0000-0000-0000E8550000}"/>
    <cellStyle name="Output 2 5 6 3 2" xfId="8797" xr:uid="{00000000-0005-0000-0000-0000E9550000}"/>
    <cellStyle name="Output 2 5 6 3 2 2" xfId="17869" xr:uid="{00000000-0005-0000-0000-0000EA550000}"/>
    <cellStyle name="Output 2 5 6 3 2 2 2" xfId="32701" xr:uid="{00000000-0005-0000-0000-0000EB550000}"/>
    <cellStyle name="Output 2 5 6 3 2 3" xfId="19486" xr:uid="{00000000-0005-0000-0000-0000EC550000}"/>
    <cellStyle name="Output 2 5 6 3 3" xfId="15082" xr:uid="{00000000-0005-0000-0000-0000ED550000}"/>
    <cellStyle name="Output 2 5 6 3 3 2" xfId="29914" xr:uid="{00000000-0005-0000-0000-0000EE550000}"/>
    <cellStyle name="Output 2 5 6 3 4" xfId="11472" xr:uid="{00000000-0005-0000-0000-0000EF550000}"/>
    <cellStyle name="Output 2 5 6 3 4 2" xfId="26304" xr:uid="{00000000-0005-0000-0000-0000F0550000}"/>
    <cellStyle name="Output 2 5 6 4" xfId="2748" xr:uid="{00000000-0005-0000-0000-0000F1550000}"/>
    <cellStyle name="Output 2 5 6 4 2" xfId="6839" xr:uid="{00000000-0005-0000-0000-0000F2550000}"/>
    <cellStyle name="Output 2 5 6 4 2 2" xfId="16763" xr:uid="{00000000-0005-0000-0000-0000F3550000}"/>
    <cellStyle name="Output 2 5 6 4 2 2 2" xfId="31595" xr:uid="{00000000-0005-0000-0000-0000F4550000}"/>
    <cellStyle name="Output 2 5 6 4 2 3" xfId="18777" xr:uid="{00000000-0005-0000-0000-0000F5550000}"/>
    <cellStyle name="Output 2 5 6 4 3" xfId="13086" xr:uid="{00000000-0005-0000-0000-0000F6550000}"/>
    <cellStyle name="Output 2 5 6 4 3 2" xfId="27918" xr:uid="{00000000-0005-0000-0000-0000F7550000}"/>
    <cellStyle name="Output 2 5 6 4 4" xfId="10416" xr:uid="{00000000-0005-0000-0000-0000F8550000}"/>
    <cellStyle name="Output 2 5 6 4 4 2" xfId="25248" xr:uid="{00000000-0005-0000-0000-0000F9550000}"/>
    <cellStyle name="Output 2 5 6 5" xfId="5912" xr:uid="{00000000-0005-0000-0000-0000FA550000}"/>
    <cellStyle name="Output 2 5 6 5 2" xfId="16104" xr:uid="{00000000-0005-0000-0000-0000FB550000}"/>
    <cellStyle name="Output 2 5 6 5 2 2" xfId="30936" xr:uid="{00000000-0005-0000-0000-0000FC550000}"/>
    <cellStyle name="Output 2 5 6 5 3" xfId="18419" xr:uid="{00000000-0005-0000-0000-0000FD550000}"/>
    <cellStyle name="Output 2 5 6 6" xfId="12174" xr:uid="{00000000-0005-0000-0000-0000FE550000}"/>
    <cellStyle name="Output 2 5 6 6 2" xfId="27006" xr:uid="{00000000-0005-0000-0000-0000FF550000}"/>
    <cellStyle name="Output 2 5 6 7" xfId="9770" xr:uid="{00000000-0005-0000-0000-000000560000}"/>
    <cellStyle name="Output 2 5 6 7 2" xfId="24727" xr:uid="{00000000-0005-0000-0000-000001560000}"/>
    <cellStyle name="Output 2 5 7" xfId="2186" xr:uid="{00000000-0005-0000-0000-000002560000}"/>
    <cellStyle name="Output 2 5 7 2" xfId="4068" xr:uid="{00000000-0005-0000-0000-000003560000}"/>
    <cellStyle name="Output 2 5 7 2 2" xfId="8115" xr:uid="{00000000-0005-0000-0000-000004560000}"/>
    <cellStyle name="Output 2 5 7 2 2 2" xfId="17504" xr:uid="{00000000-0005-0000-0000-000005560000}"/>
    <cellStyle name="Output 2 5 7 2 2 2 2" xfId="32336" xr:uid="{00000000-0005-0000-0000-000006560000}"/>
    <cellStyle name="Output 2 5 7 2 2 3" xfId="19256" xr:uid="{00000000-0005-0000-0000-000007560000}"/>
    <cellStyle name="Output 2 5 7 2 3" xfId="14400" xr:uid="{00000000-0005-0000-0000-000008560000}"/>
    <cellStyle name="Output 2 5 7 2 3 2" xfId="29232" xr:uid="{00000000-0005-0000-0000-000009560000}"/>
    <cellStyle name="Output 2 5 7 2 4" xfId="11120" xr:uid="{00000000-0005-0000-0000-00000A560000}"/>
    <cellStyle name="Output 2 5 7 2 4 2" xfId="25952" xr:uid="{00000000-0005-0000-0000-00000B560000}"/>
    <cellStyle name="Output 2 5 7 3" xfId="5154" xr:uid="{00000000-0005-0000-0000-00000C560000}"/>
    <cellStyle name="Output 2 5 7 3 2" xfId="9193" xr:uid="{00000000-0005-0000-0000-00000D560000}"/>
    <cellStyle name="Output 2 5 7 3 2 2" xfId="18116" xr:uid="{00000000-0005-0000-0000-00000E560000}"/>
    <cellStyle name="Output 2 5 7 3 2 2 2" xfId="32948" xr:uid="{00000000-0005-0000-0000-00000F560000}"/>
    <cellStyle name="Output 2 5 7 3 2 3" xfId="19667" xr:uid="{00000000-0005-0000-0000-000010560000}"/>
    <cellStyle name="Output 2 5 7 3 3" xfId="15472" xr:uid="{00000000-0005-0000-0000-000011560000}"/>
    <cellStyle name="Output 2 5 7 3 3 2" xfId="30304" xr:uid="{00000000-0005-0000-0000-000012560000}"/>
    <cellStyle name="Output 2 5 7 3 4" xfId="11713" xr:uid="{00000000-0005-0000-0000-000013560000}"/>
    <cellStyle name="Output 2 5 7 3 4 2" xfId="26545" xr:uid="{00000000-0005-0000-0000-000014560000}"/>
    <cellStyle name="Output 2 5 7 4" xfId="4184" xr:uid="{00000000-0005-0000-0000-000015560000}"/>
    <cellStyle name="Output 2 5 7 4 2" xfId="8225" xr:uid="{00000000-0005-0000-0000-000016560000}"/>
    <cellStyle name="Output 2 5 7 4 2 2" xfId="17572" xr:uid="{00000000-0005-0000-0000-000017560000}"/>
    <cellStyle name="Output 2 5 7 4 2 2 2" xfId="32404" xr:uid="{00000000-0005-0000-0000-000018560000}"/>
    <cellStyle name="Output 2 5 7 4 2 3" xfId="19310" xr:uid="{00000000-0005-0000-0000-000019560000}"/>
    <cellStyle name="Output 2 5 7 4 3" xfId="14516" xr:uid="{00000000-0005-0000-0000-00001A560000}"/>
    <cellStyle name="Output 2 5 7 4 3 2" xfId="29348" xr:uid="{00000000-0005-0000-0000-00001B560000}"/>
    <cellStyle name="Output 2 5 7 4 4" xfId="11192" xr:uid="{00000000-0005-0000-0000-00001C560000}"/>
    <cellStyle name="Output 2 5 7 4 4 2" xfId="26024" xr:uid="{00000000-0005-0000-0000-00001D560000}"/>
    <cellStyle name="Output 2 5 7 5" xfId="6300" xr:uid="{00000000-0005-0000-0000-00001E560000}"/>
    <cellStyle name="Output 2 5 7 5 2" xfId="16484" xr:uid="{00000000-0005-0000-0000-00001F560000}"/>
    <cellStyle name="Output 2 5 7 5 2 2" xfId="31316" xr:uid="{00000000-0005-0000-0000-000020560000}"/>
    <cellStyle name="Output 2 5 7 5 3" xfId="18603" xr:uid="{00000000-0005-0000-0000-000021560000}"/>
    <cellStyle name="Output 2 5 7 6" xfId="12554" xr:uid="{00000000-0005-0000-0000-000022560000}"/>
    <cellStyle name="Output 2 5 7 6 2" xfId="27386" xr:uid="{00000000-0005-0000-0000-000023560000}"/>
    <cellStyle name="Output 2 5 7 7" xfId="10136" xr:uid="{00000000-0005-0000-0000-000024560000}"/>
    <cellStyle name="Output 2 5 7 7 2" xfId="24968" xr:uid="{00000000-0005-0000-0000-000025560000}"/>
    <cellStyle name="Output 2 5 8" xfId="3220" xr:uid="{00000000-0005-0000-0000-000026560000}"/>
    <cellStyle name="Output 2 5 8 2" xfId="7284" xr:uid="{00000000-0005-0000-0000-000027560000}"/>
    <cellStyle name="Output 2 5 8 2 2" xfId="17046" xr:uid="{00000000-0005-0000-0000-000028560000}"/>
    <cellStyle name="Output 2 5 8 2 2 2" xfId="31878" xr:uid="{00000000-0005-0000-0000-000029560000}"/>
    <cellStyle name="Output 2 5 8 2 3" xfId="18966" xr:uid="{00000000-0005-0000-0000-00002A560000}"/>
    <cellStyle name="Output 2 5 8 3" xfId="13558" xr:uid="{00000000-0005-0000-0000-00002B560000}"/>
    <cellStyle name="Output 2 5 8 3 2" xfId="28390" xr:uid="{00000000-0005-0000-0000-00002C560000}"/>
    <cellStyle name="Output 2 5 8 4" xfId="10687" xr:uid="{00000000-0005-0000-0000-00002D560000}"/>
    <cellStyle name="Output 2 5 8 4 2" xfId="25519" xr:uid="{00000000-0005-0000-0000-00002E560000}"/>
    <cellStyle name="Output 2 5 9" xfId="3351" xr:uid="{00000000-0005-0000-0000-00002F560000}"/>
    <cellStyle name="Output 2 5 9 2" xfId="7414" xr:uid="{00000000-0005-0000-0000-000030560000}"/>
    <cellStyle name="Output 2 5 9 2 2" xfId="17138" xr:uid="{00000000-0005-0000-0000-000031560000}"/>
    <cellStyle name="Output 2 5 9 2 2 2" xfId="31970" xr:uid="{00000000-0005-0000-0000-000032560000}"/>
    <cellStyle name="Output 2 5 9 2 3" xfId="19008" xr:uid="{00000000-0005-0000-0000-000033560000}"/>
    <cellStyle name="Output 2 5 9 3" xfId="13688" xr:uid="{00000000-0005-0000-0000-000034560000}"/>
    <cellStyle name="Output 2 5 9 3 2" xfId="28520" xr:uid="{00000000-0005-0000-0000-000035560000}"/>
    <cellStyle name="Output 2 5 9 4" xfId="10757" xr:uid="{00000000-0005-0000-0000-000036560000}"/>
    <cellStyle name="Output 2 5 9 4 2" xfId="25589" xr:uid="{00000000-0005-0000-0000-000037560000}"/>
    <cellStyle name="Output 2 6" xfId="1236" xr:uid="{00000000-0005-0000-0000-000038560000}"/>
    <cellStyle name="Output 2 6 10" xfId="2322" xr:uid="{00000000-0005-0000-0000-000039560000}"/>
    <cellStyle name="Output 2 6 10 2" xfId="6434" xr:uid="{00000000-0005-0000-0000-00003A560000}"/>
    <cellStyle name="Output 2 6 10 2 2" xfId="16527" xr:uid="{00000000-0005-0000-0000-00003B560000}"/>
    <cellStyle name="Output 2 6 10 2 2 2" xfId="31359" xr:uid="{00000000-0005-0000-0000-00003C560000}"/>
    <cellStyle name="Output 2 6 10 2 3" xfId="18615" xr:uid="{00000000-0005-0000-0000-00003D560000}"/>
    <cellStyle name="Output 2 6 10 3" xfId="12662" xr:uid="{00000000-0005-0000-0000-00003E560000}"/>
    <cellStyle name="Output 2 6 10 3 2" xfId="27494" xr:uid="{00000000-0005-0000-0000-00003F560000}"/>
    <cellStyle name="Output 2 6 10 4" xfId="10178" xr:uid="{00000000-0005-0000-0000-000040560000}"/>
    <cellStyle name="Output 2 6 10 4 2" xfId="25010" xr:uid="{00000000-0005-0000-0000-000041560000}"/>
    <cellStyle name="Output 2 6 11" xfId="5285" xr:uid="{00000000-0005-0000-0000-000042560000}"/>
    <cellStyle name="Output 2 6 11 2" xfId="9293" xr:uid="{00000000-0005-0000-0000-000043560000}"/>
    <cellStyle name="Output 2 6 11 2 2" xfId="18160" xr:uid="{00000000-0005-0000-0000-000044560000}"/>
    <cellStyle name="Output 2 6 11 2 2 2" xfId="32992" xr:uid="{00000000-0005-0000-0000-000045560000}"/>
    <cellStyle name="Output 2 6 11 2 3" xfId="19679" xr:uid="{00000000-0005-0000-0000-000046560000}"/>
    <cellStyle name="Output 2 6 11 3" xfId="15601" xr:uid="{00000000-0005-0000-0000-000047560000}"/>
    <cellStyle name="Output 2 6 11 3 2" xfId="30433" xr:uid="{00000000-0005-0000-0000-000048560000}"/>
    <cellStyle name="Output 2 6 12" xfId="5443" xr:uid="{00000000-0005-0000-0000-000049560000}"/>
    <cellStyle name="Output 2 6 12 2" xfId="15679" xr:uid="{00000000-0005-0000-0000-00004A560000}"/>
    <cellStyle name="Output 2 6 12 2 2" xfId="30511" xr:uid="{00000000-0005-0000-0000-00004B560000}"/>
    <cellStyle name="Output 2 6 12 3" xfId="18256" xr:uid="{00000000-0005-0000-0000-00004C560000}"/>
    <cellStyle name="Output 2 6 13" xfId="9348" xr:uid="{00000000-0005-0000-0000-00004D560000}"/>
    <cellStyle name="Output 2 6 13 2" xfId="24654" xr:uid="{00000000-0005-0000-0000-00004E560000}"/>
    <cellStyle name="Output 2 6 14" xfId="5337" xr:uid="{00000000-0005-0000-0000-00004F560000}"/>
    <cellStyle name="Output 2 6 14 2" xfId="18211" xr:uid="{00000000-0005-0000-0000-000050560000}"/>
    <cellStyle name="Output 2 6 2" xfId="1355" xr:uid="{00000000-0005-0000-0000-000051560000}"/>
    <cellStyle name="Output 2 6 2 2" xfId="1859" xr:uid="{00000000-0005-0000-0000-000052560000}"/>
    <cellStyle name="Output 2 6 2 2 2" xfId="3839" xr:uid="{00000000-0005-0000-0000-000053560000}"/>
    <cellStyle name="Output 2 6 2 2 2 2" xfId="7892" xr:uid="{00000000-0005-0000-0000-000054560000}"/>
    <cellStyle name="Output 2 6 2 2 2 2 2" xfId="17390" xr:uid="{00000000-0005-0000-0000-000055560000}"/>
    <cellStyle name="Output 2 6 2 2 2 2 2 2" xfId="32222" xr:uid="{00000000-0005-0000-0000-000056560000}"/>
    <cellStyle name="Output 2 6 2 2 2 2 3" xfId="19173" xr:uid="{00000000-0005-0000-0000-000057560000}"/>
    <cellStyle name="Output 2 6 2 2 2 3" xfId="14174" xr:uid="{00000000-0005-0000-0000-000058560000}"/>
    <cellStyle name="Output 2 6 2 2 2 3 2" xfId="29006" xr:uid="{00000000-0005-0000-0000-000059560000}"/>
    <cellStyle name="Output 2 6 2 2 2 4" xfId="11009" xr:uid="{00000000-0005-0000-0000-00005A560000}"/>
    <cellStyle name="Output 2 6 2 2 2 4 2" xfId="25841" xr:uid="{00000000-0005-0000-0000-00005B560000}"/>
    <cellStyle name="Output 2 6 2 2 3" xfId="4837" xr:uid="{00000000-0005-0000-0000-00005C560000}"/>
    <cellStyle name="Output 2 6 2 2 3 2" xfId="8876" xr:uid="{00000000-0005-0000-0000-00005D560000}"/>
    <cellStyle name="Output 2 6 2 2 3 2 2" xfId="17917" xr:uid="{00000000-0005-0000-0000-00005E560000}"/>
    <cellStyle name="Output 2 6 2 2 3 2 2 2" xfId="32749" xr:uid="{00000000-0005-0000-0000-00005F560000}"/>
    <cellStyle name="Output 2 6 2 2 3 2 3" xfId="19519" xr:uid="{00000000-0005-0000-0000-000060560000}"/>
    <cellStyle name="Output 2 6 2 2 3 3" xfId="15161" xr:uid="{00000000-0005-0000-0000-000061560000}"/>
    <cellStyle name="Output 2 6 2 2 3 3 2" xfId="29993" xr:uid="{00000000-0005-0000-0000-000062560000}"/>
    <cellStyle name="Output 2 6 2 2 3 4" xfId="11520" xr:uid="{00000000-0005-0000-0000-000063560000}"/>
    <cellStyle name="Output 2 6 2 2 3 4 2" xfId="26352" xr:uid="{00000000-0005-0000-0000-000064560000}"/>
    <cellStyle name="Output 2 6 2 2 4" xfId="2827" xr:uid="{00000000-0005-0000-0000-000065560000}"/>
    <cellStyle name="Output 2 6 2 2 4 2" xfId="6918" xr:uid="{00000000-0005-0000-0000-000066560000}"/>
    <cellStyle name="Output 2 6 2 2 4 2 2" xfId="16811" xr:uid="{00000000-0005-0000-0000-000067560000}"/>
    <cellStyle name="Output 2 6 2 2 4 2 2 2" xfId="31643" xr:uid="{00000000-0005-0000-0000-000068560000}"/>
    <cellStyle name="Output 2 6 2 2 4 2 3" xfId="18810" xr:uid="{00000000-0005-0000-0000-000069560000}"/>
    <cellStyle name="Output 2 6 2 2 4 3" xfId="13165" xr:uid="{00000000-0005-0000-0000-00006A560000}"/>
    <cellStyle name="Output 2 6 2 2 4 3 2" xfId="27997" xr:uid="{00000000-0005-0000-0000-00006B560000}"/>
    <cellStyle name="Output 2 6 2 2 4 4" xfId="10464" xr:uid="{00000000-0005-0000-0000-00006C560000}"/>
    <cellStyle name="Output 2 6 2 2 4 4 2" xfId="25296" xr:uid="{00000000-0005-0000-0000-00006D560000}"/>
    <cellStyle name="Output 2 6 2 2 5" xfId="5991" xr:uid="{00000000-0005-0000-0000-00006E560000}"/>
    <cellStyle name="Output 2 6 2 2 5 2" xfId="16183" xr:uid="{00000000-0005-0000-0000-00006F560000}"/>
    <cellStyle name="Output 2 6 2 2 5 2 2" xfId="31015" xr:uid="{00000000-0005-0000-0000-000070560000}"/>
    <cellStyle name="Output 2 6 2 2 5 3" xfId="18452" xr:uid="{00000000-0005-0000-0000-000071560000}"/>
    <cellStyle name="Output 2 6 2 2 6" xfId="12253" xr:uid="{00000000-0005-0000-0000-000072560000}"/>
    <cellStyle name="Output 2 6 2 2 6 2" xfId="27085" xr:uid="{00000000-0005-0000-0000-000073560000}"/>
    <cellStyle name="Output 2 6 2 2 7" xfId="9849" xr:uid="{00000000-0005-0000-0000-000074560000}"/>
    <cellStyle name="Output 2 6 2 2 7 2" xfId="24775" xr:uid="{00000000-0005-0000-0000-000075560000}"/>
    <cellStyle name="Output 2 6 2 3" xfId="4085" xr:uid="{00000000-0005-0000-0000-000076560000}"/>
    <cellStyle name="Output 2 6 2 3 2" xfId="8131" xr:uid="{00000000-0005-0000-0000-000077560000}"/>
    <cellStyle name="Output 2 6 2 3 2 2" xfId="17511" xr:uid="{00000000-0005-0000-0000-000078560000}"/>
    <cellStyle name="Output 2 6 2 3 2 2 2" xfId="32343" xr:uid="{00000000-0005-0000-0000-000079560000}"/>
    <cellStyle name="Output 2 6 2 3 2 3" xfId="19262" xr:uid="{00000000-0005-0000-0000-00007A560000}"/>
    <cellStyle name="Output 2 6 2 3 3" xfId="14417" xr:uid="{00000000-0005-0000-0000-00007B560000}"/>
    <cellStyle name="Output 2 6 2 3 3 2" xfId="29249" xr:uid="{00000000-0005-0000-0000-00007C560000}"/>
    <cellStyle name="Output 2 6 2 3 4" xfId="11128" xr:uid="{00000000-0005-0000-0000-00007D560000}"/>
    <cellStyle name="Output 2 6 2 3 4 2" xfId="25960" xr:uid="{00000000-0005-0000-0000-00007E560000}"/>
    <cellStyle name="Output 2 6 2 4" xfId="4417" xr:uid="{00000000-0005-0000-0000-00007F560000}"/>
    <cellStyle name="Output 2 6 2 4 2" xfId="8456" xr:uid="{00000000-0005-0000-0000-000080560000}"/>
    <cellStyle name="Output 2 6 2 4 2 2" xfId="17677" xr:uid="{00000000-0005-0000-0000-000081560000}"/>
    <cellStyle name="Output 2 6 2 4 2 2 2" xfId="32509" xr:uid="{00000000-0005-0000-0000-000082560000}"/>
    <cellStyle name="Output 2 6 2 4 2 3" xfId="19359" xr:uid="{00000000-0005-0000-0000-000083560000}"/>
    <cellStyle name="Output 2 6 2 4 3" xfId="14746" xr:uid="{00000000-0005-0000-0000-000084560000}"/>
    <cellStyle name="Output 2 6 2 4 3 2" xfId="29578" xr:uid="{00000000-0005-0000-0000-000085560000}"/>
    <cellStyle name="Output 2 6 2 4 4" xfId="11285" xr:uid="{00000000-0005-0000-0000-000086560000}"/>
    <cellStyle name="Output 2 6 2 4 4 2" xfId="26117" xr:uid="{00000000-0005-0000-0000-000087560000}"/>
    <cellStyle name="Output 2 6 2 5" xfId="2407" xr:uid="{00000000-0005-0000-0000-000088560000}"/>
    <cellStyle name="Output 2 6 2 5 2" xfId="6519" xr:uid="{00000000-0005-0000-0000-000089560000}"/>
    <cellStyle name="Output 2 6 2 5 2 2" xfId="16575" xr:uid="{00000000-0005-0000-0000-00008A560000}"/>
    <cellStyle name="Output 2 6 2 5 2 2 2" xfId="31407" xr:uid="{00000000-0005-0000-0000-00008B560000}"/>
    <cellStyle name="Output 2 6 2 5 2 3" xfId="18647" xr:uid="{00000000-0005-0000-0000-00008C560000}"/>
    <cellStyle name="Output 2 6 2 5 3" xfId="12746" xr:uid="{00000000-0005-0000-0000-00008D560000}"/>
    <cellStyle name="Output 2 6 2 5 3 2" xfId="27578" xr:uid="{00000000-0005-0000-0000-00008E560000}"/>
    <cellStyle name="Output 2 6 2 5 4" xfId="10225" xr:uid="{00000000-0005-0000-0000-00008F560000}"/>
    <cellStyle name="Output 2 6 2 5 4 2" xfId="25057" xr:uid="{00000000-0005-0000-0000-000090560000}"/>
    <cellStyle name="Output 2 6 2 6" xfId="5532" xr:uid="{00000000-0005-0000-0000-000091560000}"/>
    <cellStyle name="Output 2 6 2 6 2" xfId="15767" xr:uid="{00000000-0005-0000-0000-000092560000}"/>
    <cellStyle name="Output 2 6 2 6 2 2" xfId="30599" xr:uid="{00000000-0005-0000-0000-000093560000}"/>
    <cellStyle name="Output 2 6 2 6 3" xfId="18289" xr:uid="{00000000-0005-0000-0000-000094560000}"/>
    <cellStyle name="Output 2 6 2 7" xfId="11782" xr:uid="{00000000-0005-0000-0000-000095560000}"/>
    <cellStyle name="Output 2 6 2 7 2" xfId="26614" xr:uid="{00000000-0005-0000-0000-000096560000}"/>
    <cellStyle name="Output 2 6 2 8" xfId="9453" xr:uid="{00000000-0005-0000-0000-000097560000}"/>
    <cellStyle name="Output 2 6 2 8 2" xfId="19757" xr:uid="{00000000-0005-0000-0000-000098560000}"/>
    <cellStyle name="Output 2 6 3" xfId="1525" xr:uid="{00000000-0005-0000-0000-000099560000}"/>
    <cellStyle name="Output 2 6 3 2" xfId="2022" xr:uid="{00000000-0005-0000-0000-00009A560000}"/>
    <cellStyle name="Output 2 6 3 2 2" xfId="3758" xr:uid="{00000000-0005-0000-0000-00009B560000}"/>
    <cellStyle name="Output 2 6 3 2 2 2" xfId="7814" xr:uid="{00000000-0005-0000-0000-00009C560000}"/>
    <cellStyle name="Output 2 6 3 2 2 2 2" xfId="17350" xr:uid="{00000000-0005-0000-0000-00009D560000}"/>
    <cellStyle name="Output 2 6 3 2 2 2 2 2" xfId="32182" xr:uid="{00000000-0005-0000-0000-00009E560000}"/>
    <cellStyle name="Output 2 6 3 2 2 2 3" xfId="19144" xr:uid="{00000000-0005-0000-0000-00009F560000}"/>
    <cellStyle name="Output 2 6 3 2 2 3" xfId="14093" xr:uid="{00000000-0005-0000-0000-0000A0560000}"/>
    <cellStyle name="Output 2 6 3 2 2 3 2" xfId="28925" xr:uid="{00000000-0005-0000-0000-0000A1560000}"/>
    <cellStyle name="Output 2 6 3 2 2 4" xfId="10966" xr:uid="{00000000-0005-0000-0000-0000A2560000}"/>
    <cellStyle name="Output 2 6 3 2 2 4 2" xfId="25798" xr:uid="{00000000-0005-0000-0000-0000A3560000}"/>
    <cellStyle name="Output 2 6 3 2 3" xfId="4990" xr:uid="{00000000-0005-0000-0000-0000A4560000}"/>
    <cellStyle name="Output 2 6 3 2 3 2" xfId="9029" xr:uid="{00000000-0005-0000-0000-0000A5560000}"/>
    <cellStyle name="Output 2 6 3 2 3 2 2" xfId="17967" xr:uid="{00000000-0005-0000-0000-0000A6560000}"/>
    <cellStyle name="Output 2 6 3 2 3 2 2 2" xfId="32799" xr:uid="{00000000-0005-0000-0000-0000A7560000}"/>
    <cellStyle name="Output 2 6 3 2 3 2 3" xfId="19551" xr:uid="{00000000-0005-0000-0000-0000A8560000}"/>
    <cellStyle name="Output 2 6 3 2 3 3" xfId="15312" xr:uid="{00000000-0005-0000-0000-0000A9560000}"/>
    <cellStyle name="Output 2 6 3 2 3 3 2" xfId="30144" xr:uid="{00000000-0005-0000-0000-0000AA560000}"/>
    <cellStyle name="Output 2 6 3 2 3 4" xfId="11568" xr:uid="{00000000-0005-0000-0000-0000AB560000}"/>
    <cellStyle name="Output 2 6 3 2 3 4 2" xfId="26400" xr:uid="{00000000-0005-0000-0000-0000AC560000}"/>
    <cellStyle name="Output 2 6 3 2 4" xfId="2980" xr:uid="{00000000-0005-0000-0000-0000AD560000}"/>
    <cellStyle name="Output 2 6 3 2 4 2" xfId="7060" xr:uid="{00000000-0005-0000-0000-0000AE560000}"/>
    <cellStyle name="Output 2 6 3 2 4 2 2" xfId="16859" xr:uid="{00000000-0005-0000-0000-0000AF560000}"/>
    <cellStyle name="Output 2 6 3 2 4 2 2 2" xfId="31691" xr:uid="{00000000-0005-0000-0000-0000B0560000}"/>
    <cellStyle name="Output 2 6 3 2 4 2 3" xfId="18843" xr:uid="{00000000-0005-0000-0000-0000B1560000}"/>
    <cellStyle name="Output 2 6 3 2 4 3" xfId="13318" xr:uid="{00000000-0005-0000-0000-0000B2560000}"/>
    <cellStyle name="Output 2 6 3 2 4 3 2" xfId="28150" xr:uid="{00000000-0005-0000-0000-0000B3560000}"/>
    <cellStyle name="Output 2 6 3 2 4 4" xfId="10514" xr:uid="{00000000-0005-0000-0000-0000B4560000}"/>
    <cellStyle name="Output 2 6 3 2 4 4 2" xfId="25346" xr:uid="{00000000-0005-0000-0000-0000B5560000}"/>
    <cellStyle name="Output 2 6 3 2 5" xfId="6152" xr:uid="{00000000-0005-0000-0000-0000B6560000}"/>
    <cellStyle name="Output 2 6 3 2 5 2" xfId="16339" xr:uid="{00000000-0005-0000-0000-0000B7560000}"/>
    <cellStyle name="Output 2 6 3 2 5 2 2" xfId="31171" xr:uid="{00000000-0005-0000-0000-0000B8560000}"/>
    <cellStyle name="Output 2 6 3 2 5 3" xfId="18484" xr:uid="{00000000-0005-0000-0000-0000B9560000}"/>
    <cellStyle name="Output 2 6 3 2 6" xfId="12409" xr:uid="{00000000-0005-0000-0000-0000BA560000}"/>
    <cellStyle name="Output 2 6 3 2 6 2" xfId="27241" xr:uid="{00000000-0005-0000-0000-0000BB560000}"/>
    <cellStyle name="Output 2 6 3 2 7" xfId="9991" xr:uid="{00000000-0005-0000-0000-0000BC560000}"/>
    <cellStyle name="Output 2 6 3 2 7 2" xfId="24823" xr:uid="{00000000-0005-0000-0000-0000BD560000}"/>
    <cellStyle name="Output 2 6 3 3" xfId="3325" xr:uid="{00000000-0005-0000-0000-0000BE560000}"/>
    <cellStyle name="Output 2 6 3 3 2" xfId="7388" xr:uid="{00000000-0005-0000-0000-0000BF560000}"/>
    <cellStyle name="Output 2 6 3 3 2 2" xfId="17121" xr:uid="{00000000-0005-0000-0000-0000C0560000}"/>
    <cellStyle name="Output 2 6 3 3 2 2 2" xfId="31953" xr:uid="{00000000-0005-0000-0000-0000C1560000}"/>
    <cellStyle name="Output 2 6 3 3 2 3" xfId="18998" xr:uid="{00000000-0005-0000-0000-0000C2560000}"/>
    <cellStyle name="Output 2 6 3 3 3" xfId="13662" xr:uid="{00000000-0005-0000-0000-0000C3560000}"/>
    <cellStyle name="Output 2 6 3 3 3 2" xfId="28494" xr:uid="{00000000-0005-0000-0000-0000C4560000}"/>
    <cellStyle name="Output 2 6 3 3 4" xfId="10742" xr:uid="{00000000-0005-0000-0000-0000C5560000}"/>
    <cellStyle name="Output 2 6 3 3 4 2" xfId="25574" xr:uid="{00000000-0005-0000-0000-0000C6560000}"/>
    <cellStyle name="Output 2 6 3 4" xfId="4570" xr:uid="{00000000-0005-0000-0000-0000C7560000}"/>
    <cellStyle name="Output 2 6 3 4 2" xfId="8609" xr:uid="{00000000-0005-0000-0000-0000C8560000}"/>
    <cellStyle name="Output 2 6 3 4 2 2" xfId="17727" xr:uid="{00000000-0005-0000-0000-0000C9560000}"/>
    <cellStyle name="Output 2 6 3 4 2 2 2" xfId="32559" xr:uid="{00000000-0005-0000-0000-0000CA560000}"/>
    <cellStyle name="Output 2 6 3 4 2 3" xfId="19391" xr:uid="{00000000-0005-0000-0000-0000CB560000}"/>
    <cellStyle name="Output 2 6 3 4 3" xfId="14897" xr:uid="{00000000-0005-0000-0000-0000CC560000}"/>
    <cellStyle name="Output 2 6 3 4 3 2" xfId="29729" xr:uid="{00000000-0005-0000-0000-0000CD560000}"/>
    <cellStyle name="Output 2 6 3 4 4" xfId="11333" xr:uid="{00000000-0005-0000-0000-0000CE560000}"/>
    <cellStyle name="Output 2 6 3 4 4 2" xfId="26165" xr:uid="{00000000-0005-0000-0000-0000CF560000}"/>
    <cellStyle name="Output 2 6 3 5" xfId="2560" xr:uid="{00000000-0005-0000-0000-0000D0560000}"/>
    <cellStyle name="Output 2 6 3 5 2" xfId="6666" xr:uid="{00000000-0005-0000-0000-0000D1560000}"/>
    <cellStyle name="Output 2 6 3 5 2 2" xfId="16624" xr:uid="{00000000-0005-0000-0000-0000D2560000}"/>
    <cellStyle name="Output 2 6 3 5 2 2 2" xfId="31456" xr:uid="{00000000-0005-0000-0000-0000D3560000}"/>
    <cellStyle name="Output 2 6 3 5 2 3" xfId="18679" xr:uid="{00000000-0005-0000-0000-0000D4560000}"/>
    <cellStyle name="Output 2 6 3 5 3" xfId="12898" xr:uid="{00000000-0005-0000-0000-0000D5560000}"/>
    <cellStyle name="Output 2 6 3 5 3 2" xfId="27730" xr:uid="{00000000-0005-0000-0000-0000D6560000}"/>
    <cellStyle name="Output 2 6 3 5 4" xfId="10274" xr:uid="{00000000-0005-0000-0000-0000D7560000}"/>
    <cellStyle name="Output 2 6 3 5 4 2" xfId="25106" xr:uid="{00000000-0005-0000-0000-0000D8560000}"/>
    <cellStyle name="Output 2 6 3 6" xfId="5683" xr:uid="{00000000-0005-0000-0000-0000D9560000}"/>
    <cellStyle name="Output 2 6 3 6 2" xfId="15918" xr:uid="{00000000-0005-0000-0000-0000DA560000}"/>
    <cellStyle name="Output 2 6 3 6 2 2" xfId="30750" xr:uid="{00000000-0005-0000-0000-0000DB560000}"/>
    <cellStyle name="Output 2 6 3 6 3" xfId="18321" xr:uid="{00000000-0005-0000-0000-0000DC560000}"/>
    <cellStyle name="Output 2 6 3 7" xfId="11938" xr:uid="{00000000-0005-0000-0000-0000DD560000}"/>
    <cellStyle name="Output 2 6 3 7 2" xfId="26770" xr:uid="{00000000-0005-0000-0000-0000DE560000}"/>
    <cellStyle name="Output 2 6 3 8" xfId="9596" xr:uid="{00000000-0005-0000-0000-0000DF560000}"/>
    <cellStyle name="Output 2 6 3 8 2" xfId="19898" xr:uid="{00000000-0005-0000-0000-0000E0560000}"/>
    <cellStyle name="Output 2 6 4" xfId="1580" xr:uid="{00000000-0005-0000-0000-0000E1560000}"/>
    <cellStyle name="Output 2 6 4 2" xfId="2077" xr:uid="{00000000-0005-0000-0000-0000E2560000}"/>
    <cellStyle name="Output 2 6 4 2 2" xfId="3530" xr:uid="{00000000-0005-0000-0000-0000E3560000}"/>
    <cellStyle name="Output 2 6 4 2 2 2" xfId="7592" xr:uid="{00000000-0005-0000-0000-0000E4560000}"/>
    <cellStyle name="Output 2 6 4 2 2 2 2" xfId="17237" xr:uid="{00000000-0005-0000-0000-0000E5560000}"/>
    <cellStyle name="Output 2 6 4 2 2 2 2 2" xfId="32069" xr:uid="{00000000-0005-0000-0000-0000E6560000}"/>
    <cellStyle name="Output 2 6 4 2 2 2 3" xfId="19065" xr:uid="{00000000-0005-0000-0000-0000E7560000}"/>
    <cellStyle name="Output 2 6 4 2 2 3" xfId="13867" xr:uid="{00000000-0005-0000-0000-0000E8560000}"/>
    <cellStyle name="Output 2 6 4 2 2 3 2" xfId="28699" xr:uid="{00000000-0005-0000-0000-0000E9560000}"/>
    <cellStyle name="Output 2 6 4 2 2 4" xfId="10855" xr:uid="{00000000-0005-0000-0000-0000EA560000}"/>
    <cellStyle name="Output 2 6 4 2 2 4 2" xfId="25687" xr:uid="{00000000-0005-0000-0000-0000EB560000}"/>
    <cellStyle name="Output 2 6 4 2 3" xfId="5045" xr:uid="{00000000-0005-0000-0000-0000EC560000}"/>
    <cellStyle name="Output 2 6 4 2 3 2" xfId="9084" xr:uid="{00000000-0005-0000-0000-0000ED560000}"/>
    <cellStyle name="Output 2 6 4 2 3 2 2" xfId="18017" xr:uid="{00000000-0005-0000-0000-0000EE560000}"/>
    <cellStyle name="Output 2 6 4 2 3 2 2 2" xfId="32849" xr:uid="{00000000-0005-0000-0000-0000EF560000}"/>
    <cellStyle name="Output 2 6 4 2 3 2 3" xfId="19583" xr:uid="{00000000-0005-0000-0000-0000F0560000}"/>
    <cellStyle name="Output 2 6 4 2 3 3" xfId="15366" xr:uid="{00000000-0005-0000-0000-0000F1560000}"/>
    <cellStyle name="Output 2 6 4 2 3 3 2" xfId="30198" xr:uid="{00000000-0005-0000-0000-0000F2560000}"/>
    <cellStyle name="Output 2 6 4 2 3 4" xfId="11617" xr:uid="{00000000-0005-0000-0000-0000F3560000}"/>
    <cellStyle name="Output 2 6 4 2 3 4 2" xfId="26449" xr:uid="{00000000-0005-0000-0000-0000F4560000}"/>
    <cellStyle name="Output 2 6 4 2 4" xfId="3035" xr:uid="{00000000-0005-0000-0000-0000F5560000}"/>
    <cellStyle name="Output 2 6 4 2 4 2" xfId="7110" xr:uid="{00000000-0005-0000-0000-0000F6560000}"/>
    <cellStyle name="Output 2 6 4 2 4 2 2" xfId="16908" xr:uid="{00000000-0005-0000-0000-0000F7560000}"/>
    <cellStyle name="Output 2 6 4 2 4 2 2 2" xfId="31740" xr:uid="{00000000-0005-0000-0000-0000F8560000}"/>
    <cellStyle name="Output 2 6 4 2 4 2 3" xfId="18876" xr:uid="{00000000-0005-0000-0000-0000F9560000}"/>
    <cellStyle name="Output 2 6 4 2 4 3" xfId="13373" xr:uid="{00000000-0005-0000-0000-0000FA560000}"/>
    <cellStyle name="Output 2 6 4 2 4 3 2" xfId="28205" xr:uid="{00000000-0005-0000-0000-0000FB560000}"/>
    <cellStyle name="Output 2 6 4 2 4 4" xfId="10564" xr:uid="{00000000-0005-0000-0000-0000FC560000}"/>
    <cellStyle name="Output 2 6 4 2 4 4 2" xfId="25396" xr:uid="{00000000-0005-0000-0000-0000FD560000}"/>
    <cellStyle name="Output 2 6 4 2 5" xfId="6202" xr:uid="{00000000-0005-0000-0000-0000FE560000}"/>
    <cellStyle name="Output 2 6 4 2 5 2" xfId="16388" xr:uid="{00000000-0005-0000-0000-0000FF560000}"/>
    <cellStyle name="Output 2 6 4 2 5 2 2" xfId="31220" xr:uid="{00000000-0005-0000-0000-000000570000}"/>
    <cellStyle name="Output 2 6 4 2 5 3" xfId="18517" xr:uid="{00000000-0005-0000-0000-000001570000}"/>
    <cellStyle name="Output 2 6 4 2 6" xfId="12458" xr:uid="{00000000-0005-0000-0000-000002570000}"/>
    <cellStyle name="Output 2 6 4 2 6 2" xfId="27290" xr:uid="{00000000-0005-0000-0000-000003570000}"/>
    <cellStyle name="Output 2 6 4 2 7" xfId="10040" xr:uid="{00000000-0005-0000-0000-000004570000}"/>
    <cellStyle name="Output 2 6 4 2 7 2" xfId="24872" xr:uid="{00000000-0005-0000-0000-000005570000}"/>
    <cellStyle name="Output 2 6 4 3" xfId="3446" xr:uid="{00000000-0005-0000-0000-000006570000}"/>
    <cellStyle name="Output 2 6 4 3 2" xfId="7509" xr:uid="{00000000-0005-0000-0000-000007570000}"/>
    <cellStyle name="Output 2 6 4 3 2 2" xfId="17193" xr:uid="{00000000-0005-0000-0000-000008570000}"/>
    <cellStyle name="Output 2 6 4 3 2 2 2" xfId="32025" xr:uid="{00000000-0005-0000-0000-000009570000}"/>
    <cellStyle name="Output 2 6 4 3 2 3" xfId="19038" xr:uid="{00000000-0005-0000-0000-00000A570000}"/>
    <cellStyle name="Output 2 6 4 3 3" xfId="13783" xr:uid="{00000000-0005-0000-0000-00000B570000}"/>
    <cellStyle name="Output 2 6 4 3 3 2" xfId="28615" xr:uid="{00000000-0005-0000-0000-00000C570000}"/>
    <cellStyle name="Output 2 6 4 3 4" xfId="10812" xr:uid="{00000000-0005-0000-0000-00000D570000}"/>
    <cellStyle name="Output 2 6 4 3 4 2" xfId="25644" xr:uid="{00000000-0005-0000-0000-00000E570000}"/>
    <cellStyle name="Output 2 6 4 4" xfId="4625" xr:uid="{00000000-0005-0000-0000-00000F570000}"/>
    <cellStyle name="Output 2 6 4 4 2" xfId="8664" xr:uid="{00000000-0005-0000-0000-000010570000}"/>
    <cellStyle name="Output 2 6 4 4 2 2" xfId="17777" xr:uid="{00000000-0005-0000-0000-000011570000}"/>
    <cellStyle name="Output 2 6 4 4 2 2 2" xfId="32609" xr:uid="{00000000-0005-0000-0000-000012570000}"/>
    <cellStyle name="Output 2 6 4 4 2 3" xfId="19423" xr:uid="{00000000-0005-0000-0000-000013570000}"/>
    <cellStyle name="Output 2 6 4 4 3" xfId="14951" xr:uid="{00000000-0005-0000-0000-000014570000}"/>
    <cellStyle name="Output 2 6 4 4 3 2" xfId="29783" xr:uid="{00000000-0005-0000-0000-000015570000}"/>
    <cellStyle name="Output 2 6 4 4 4" xfId="11382" xr:uid="{00000000-0005-0000-0000-000016570000}"/>
    <cellStyle name="Output 2 6 4 4 4 2" xfId="26214" xr:uid="{00000000-0005-0000-0000-000017570000}"/>
    <cellStyle name="Output 2 6 4 5" xfId="2615" xr:uid="{00000000-0005-0000-0000-000018570000}"/>
    <cellStyle name="Output 2 6 4 5 2" xfId="6716" xr:uid="{00000000-0005-0000-0000-000019570000}"/>
    <cellStyle name="Output 2 6 4 5 2 2" xfId="16673" xr:uid="{00000000-0005-0000-0000-00001A570000}"/>
    <cellStyle name="Output 2 6 4 5 2 2 2" xfId="31505" xr:uid="{00000000-0005-0000-0000-00001B570000}"/>
    <cellStyle name="Output 2 6 4 5 2 3" xfId="18712" xr:uid="{00000000-0005-0000-0000-00001C570000}"/>
    <cellStyle name="Output 2 6 4 5 3" xfId="12953" xr:uid="{00000000-0005-0000-0000-00001D570000}"/>
    <cellStyle name="Output 2 6 4 5 3 2" xfId="27785" xr:uid="{00000000-0005-0000-0000-00001E570000}"/>
    <cellStyle name="Output 2 6 4 5 4" xfId="10324" xr:uid="{00000000-0005-0000-0000-00001F570000}"/>
    <cellStyle name="Output 2 6 4 5 4 2" xfId="25156" xr:uid="{00000000-0005-0000-0000-000020570000}"/>
    <cellStyle name="Output 2 6 4 6" xfId="5732" xr:uid="{00000000-0005-0000-0000-000021570000}"/>
    <cellStyle name="Output 2 6 4 6 2" xfId="15967" xr:uid="{00000000-0005-0000-0000-000022570000}"/>
    <cellStyle name="Output 2 6 4 6 2 2" xfId="30799" xr:uid="{00000000-0005-0000-0000-000023570000}"/>
    <cellStyle name="Output 2 6 4 6 3" xfId="18353" xr:uid="{00000000-0005-0000-0000-000024570000}"/>
    <cellStyle name="Output 2 6 4 7" xfId="11987" xr:uid="{00000000-0005-0000-0000-000025570000}"/>
    <cellStyle name="Output 2 6 4 7 2" xfId="26819" xr:uid="{00000000-0005-0000-0000-000026570000}"/>
    <cellStyle name="Output 2 6 4 8" xfId="9646" xr:uid="{00000000-0005-0000-0000-000027570000}"/>
    <cellStyle name="Output 2 6 4 8 2" xfId="19947" xr:uid="{00000000-0005-0000-0000-000028570000}"/>
    <cellStyle name="Output 2 6 5" xfId="1630" xr:uid="{00000000-0005-0000-0000-000029570000}"/>
    <cellStyle name="Output 2 6 5 2" xfId="2127" xr:uid="{00000000-0005-0000-0000-00002A570000}"/>
    <cellStyle name="Output 2 6 5 2 2" xfId="3838" xr:uid="{00000000-0005-0000-0000-00002B570000}"/>
    <cellStyle name="Output 2 6 5 2 2 2" xfId="7891" xr:uid="{00000000-0005-0000-0000-00002C570000}"/>
    <cellStyle name="Output 2 6 5 2 2 2 2" xfId="17389" xr:uid="{00000000-0005-0000-0000-00002D570000}"/>
    <cellStyle name="Output 2 6 5 2 2 2 2 2" xfId="32221" xr:uid="{00000000-0005-0000-0000-00002E570000}"/>
    <cellStyle name="Output 2 6 5 2 2 2 3" xfId="19172" xr:uid="{00000000-0005-0000-0000-00002F570000}"/>
    <cellStyle name="Output 2 6 5 2 2 3" xfId="14173" xr:uid="{00000000-0005-0000-0000-000030570000}"/>
    <cellStyle name="Output 2 6 5 2 2 3 2" xfId="29005" xr:uid="{00000000-0005-0000-0000-000031570000}"/>
    <cellStyle name="Output 2 6 5 2 2 4" xfId="11008" xr:uid="{00000000-0005-0000-0000-000032570000}"/>
    <cellStyle name="Output 2 6 5 2 2 4 2" xfId="25840" xr:uid="{00000000-0005-0000-0000-000033570000}"/>
    <cellStyle name="Output 2 6 5 2 3" xfId="5095" xr:uid="{00000000-0005-0000-0000-000034570000}"/>
    <cellStyle name="Output 2 6 5 2 3 2" xfId="9134" xr:uid="{00000000-0005-0000-0000-000035570000}"/>
    <cellStyle name="Output 2 6 5 2 3 2 2" xfId="18062" xr:uid="{00000000-0005-0000-0000-000036570000}"/>
    <cellStyle name="Output 2 6 5 2 3 2 2 2" xfId="32894" xr:uid="{00000000-0005-0000-0000-000037570000}"/>
    <cellStyle name="Output 2 6 5 2 3 2 3" xfId="19615" xr:uid="{00000000-0005-0000-0000-000038570000}"/>
    <cellStyle name="Output 2 6 5 2 3 3" xfId="15415" xr:uid="{00000000-0005-0000-0000-000039570000}"/>
    <cellStyle name="Output 2 6 5 2 3 3 2" xfId="30247" xr:uid="{00000000-0005-0000-0000-00003A570000}"/>
    <cellStyle name="Output 2 6 5 2 3 4" xfId="11661" xr:uid="{00000000-0005-0000-0000-00003B570000}"/>
    <cellStyle name="Output 2 6 5 2 3 4 2" xfId="26493" xr:uid="{00000000-0005-0000-0000-00003C570000}"/>
    <cellStyle name="Output 2 6 5 2 4" xfId="3085" xr:uid="{00000000-0005-0000-0000-00003D570000}"/>
    <cellStyle name="Output 2 6 5 2 4 2" xfId="7155" xr:uid="{00000000-0005-0000-0000-00003E570000}"/>
    <cellStyle name="Output 2 6 5 2 4 2 2" xfId="16952" xr:uid="{00000000-0005-0000-0000-00003F570000}"/>
    <cellStyle name="Output 2 6 5 2 4 2 2 2" xfId="31784" xr:uid="{00000000-0005-0000-0000-000040570000}"/>
    <cellStyle name="Output 2 6 5 2 4 2 3" xfId="18909" xr:uid="{00000000-0005-0000-0000-000041570000}"/>
    <cellStyle name="Output 2 6 5 2 4 3" xfId="13423" xr:uid="{00000000-0005-0000-0000-000042570000}"/>
    <cellStyle name="Output 2 6 5 2 4 3 2" xfId="28255" xr:uid="{00000000-0005-0000-0000-000043570000}"/>
    <cellStyle name="Output 2 6 5 2 4 4" xfId="10609" xr:uid="{00000000-0005-0000-0000-000044570000}"/>
    <cellStyle name="Output 2 6 5 2 4 4 2" xfId="25441" xr:uid="{00000000-0005-0000-0000-000045570000}"/>
    <cellStyle name="Output 2 6 5 2 5" xfId="6247" xr:uid="{00000000-0005-0000-0000-000046570000}"/>
    <cellStyle name="Output 2 6 5 2 5 2" xfId="16432" xr:uid="{00000000-0005-0000-0000-000047570000}"/>
    <cellStyle name="Output 2 6 5 2 5 2 2" xfId="31264" xr:uid="{00000000-0005-0000-0000-000048570000}"/>
    <cellStyle name="Output 2 6 5 2 5 3" xfId="18550" xr:uid="{00000000-0005-0000-0000-000049570000}"/>
    <cellStyle name="Output 2 6 5 2 6" xfId="12502" xr:uid="{00000000-0005-0000-0000-00004A570000}"/>
    <cellStyle name="Output 2 6 5 2 6 2" xfId="27334" xr:uid="{00000000-0005-0000-0000-00004B570000}"/>
    <cellStyle name="Output 2 6 5 2 7" xfId="10084" xr:uid="{00000000-0005-0000-0000-00004C570000}"/>
    <cellStyle name="Output 2 6 5 2 7 2" xfId="24916" xr:uid="{00000000-0005-0000-0000-00004D570000}"/>
    <cellStyle name="Output 2 6 5 3" xfId="3883" xr:uid="{00000000-0005-0000-0000-00004E570000}"/>
    <cellStyle name="Output 2 6 5 3 2" xfId="7934" xr:uid="{00000000-0005-0000-0000-00004F570000}"/>
    <cellStyle name="Output 2 6 5 3 2 2" xfId="17409" xr:uid="{00000000-0005-0000-0000-000050570000}"/>
    <cellStyle name="Output 2 6 5 3 2 2 2" xfId="32241" xr:uid="{00000000-0005-0000-0000-000051570000}"/>
    <cellStyle name="Output 2 6 5 3 2 3" xfId="19185" xr:uid="{00000000-0005-0000-0000-000052570000}"/>
    <cellStyle name="Output 2 6 5 3 3" xfId="14217" xr:uid="{00000000-0005-0000-0000-000053570000}"/>
    <cellStyle name="Output 2 6 5 3 3 2" xfId="29049" xr:uid="{00000000-0005-0000-0000-000054570000}"/>
    <cellStyle name="Output 2 6 5 3 4" xfId="11026" xr:uid="{00000000-0005-0000-0000-000055570000}"/>
    <cellStyle name="Output 2 6 5 3 4 2" xfId="25858" xr:uid="{00000000-0005-0000-0000-000056570000}"/>
    <cellStyle name="Output 2 6 5 4" xfId="4675" xr:uid="{00000000-0005-0000-0000-000057570000}"/>
    <cellStyle name="Output 2 6 5 4 2" xfId="8714" xr:uid="{00000000-0005-0000-0000-000058570000}"/>
    <cellStyle name="Output 2 6 5 4 2 2" xfId="17822" xr:uid="{00000000-0005-0000-0000-000059570000}"/>
    <cellStyle name="Output 2 6 5 4 2 2 2" xfId="32654" xr:uid="{00000000-0005-0000-0000-00005A570000}"/>
    <cellStyle name="Output 2 6 5 4 2 3" xfId="19455" xr:uid="{00000000-0005-0000-0000-00005B570000}"/>
    <cellStyle name="Output 2 6 5 4 3" xfId="15000" xr:uid="{00000000-0005-0000-0000-00005C570000}"/>
    <cellStyle name="Output 2 6 5 4 3 2" xfId="29832" xr:uid="{00000000-0005-0000-0000-00005D570000}"/>
    <cellStyle name="Output 2 6 5 4 4" xfId="11426" xr:uid="{00000000-0005-0000-0000-00005E570000}"/>
    <cellStyle name="Output 2 6 5 4 4 2" xfId="26258" xr:uid="{00000000-0005-0000-0000-00005F570000}"/>
    <cellStyle name="Output 2 6 5 5" xfId="2665" xr:uid="{00000000-0005-0000-0000-000060570000}"/>
    <cellStyle name="Output 2 6 5 5 2" xfId="6761" xr:uid="{00000000-0005-0000-0000-000061570000}"/>
    <cellStyle name="Output 2 6 5 5 2 2" xfId="16717" xr:uid="{00000000-0005-0000-0000-000062570000}"/>
    <cellStyle name="Output 2 6 5 5 2 2 2" xfId="31549" xr:uid="{00000000-0005-0000-0000-000063570000}"/>
    <cellStyle name="Output 2 6 5 5 2 3" xfId="18745" xr:uid="{00000000-0005-0000-0000-000064570000}"/>
    <cellStyle name="Output 2 6 5 5 3" xfId="13003" xr:uid="{00000000-0005-0000-0000-000065570000}"/>
    <cellStyle name="Output 2 6 5 5 3 2" xfId="27835" xr:uid="{00000000-0005-0000-0000-000066570000}"/>
    <cellStyle name="Output 2 6 5 5 4" xfId="10369" xr:uid="{00000000-0005-0000-0000-000067570000}"/>
    <cellStyle name="Output 2 6 5 5 4 2" xfId="25201" xr:uid="{00000000-0005-0000-0000-000068570000}"/>
    <cellStyle name="Output 2 6 5 6" xfId="5777" xr:uid="{00000000-0005-0000-0000-000069570000}"/>
    <cellStyle name="Output 2 6 5 6 2" xfId="16011" xr:uid="{00000000-0005-0000-0000-00006A570000}"/>
    <cellStyle name="Output 2 6 5 6 2 2" xfId="30843" xr:uid="{00000000-0005-0000-0000-00006B570000}"/>
    <cellStyle name="Output 2 6 5 6 3" xfId="18386" xr:uid="{00000000-0005-0000-0000-00006C570000}"/>
    <cellStyle name="Output 2 6 5 7" xfId="12031" xr:uid="{00000000-0005-0000-0000-00006D570000}"/>
    <cellStyle name="Output 2 6 5 7 2" xfId="26863" xr:uid="{00000000-0005-0000-0000-00006E570000}"/>
    <cellStyle name="Output 2 6 5 8" xfId="9691" xr:uid="{00000000-0005-0000-0000-00006F570000}"/>
    <cellStyle name="Output 2 6 5 8 2" xfId="19991" xr:uid="{00000000-0005-0000-0000-000070570000}"/>
    <cellStyle name="Output 2 6 6" xfId="1781" xr:uid="{00000000-0005-0000-0000-000071570000}"/>
    <cellStyle name="Output 2 6 6 2" xfId="3723" xr:uid="{00000000-0005-0000-0000-000072570000}"/>
    <cellStyle name="Output 2 6 6 2 2" xfId="7779" xr:uid="{00000000-0005-0000-0000-000073570000}"/>
    <cellStyle name="Output 2 6 6 2 2 2" xfId="17334" xr:uid="{00000000-0005-0000-0000-000074570000}"/>
    <cellStyle name="Output 2 6 6 2 2 2 2" xfId="32166" xr:uid="{00000000-0005-0000-0000-000075570000}"/>
    <cellStyle name="Output 2 6 6 2 2 3" xfId="19131" xr:uid="{00000000-0005-0000-0000-000076570000}"/>
    <cellStyle name="Output 2 6 6 2 3" xfId="14058" xr:uid="{00000000-0005-0000-0000-000077570000}"/>
    <cellStyle name="Output 2 6 6 2 3 2" xfId="28890" xr:uid="{00000000-0005-0000-0000-000078570000}"/>
    <cellStyle name="Output 2 6 6 2 4" xfId="10950" xr:uid="{00000000-0005-0000-0000-000079570000}"/>
    <cellStyle name="Output 2 6 6 2 4 2" xfId="25782" xr:uid="{00000000-0005-0000-0000-00007A570000}"/>
    <cellStyle name="Output 2 6 6 3" xfId="4759" xr:uid="{00000000-0005-0000-0000-00007B570000}"/>
    <cellStyle name="Output 2 6 6 3 2" xfId="8798" xr:uid="{00000000-0005-0000-0000-00007C570000}"/>
    <cellStyle name="Output 2 6 6 3 2 2" xfId="17870" xr:uid="{00000000-0005-0000-0000-00007D570000}"/>
    <cellStyle name="Output 2 6 6 3 2 2 2" xfId="32702" xr:uid="{00000000-0005-0000-0000-00007E570000}"/>
    <cellStyle name="Output 2 6 6 3 2 3" xfId="19487" xr:uid="{00000000-0005-0000-0000-00007F570000}"/>
    <cellStyle name="Output 2 6 6 3 3" xfId="15083" xr:uid="{00000000-0005-0000-0000-000080570000}"/>
    <cellStyle name="Output 2 6 6 3 3 2" xfId="29915" xr:uid="{00000000-0005-0000-0000-000081570000}"/>
    <cellStyle name="Output 2 6 6 3 4" xfId="11473" xr:uid="{00000000-0005-0000-0000-000082570000}"/>
    <cellStyle name="Output 2 6 6 3 4 2" xfId="26305" xr:uid="{00000000-0005-0000-0000-000083570000}"/>
    <cellStyle name="Output 2 6 6 4" xfId="2749" xr:uid="{00000000-0005-0000-0000-000084570000}"/>
    <cellStyle name="Output 2 6 6 4 2" xfId="6840" xr:uid="{00000000-0005-0000-0000-000085570000}"/>
    <cellStyle name="Output 2 6 6 4 2 2" xfId="16764" xr:uid="{00000000-0005-0000-0000-000086570000}"/>
    <cellStyle name="Output 2 6 6 4 2 2 2" xfId="31596" xr:uid="{00000000-0005-0000-0000-000087570000}"/>
    <cellStyle name="Output 2 6 6 4 2 3" xfId="18778" xr:uid="{00000000-0005-0000-0000-000088570000}"/>
    <cellStyle name="Output 2 6 6 4 3" xfId="13087" xr:uid="{00000000-0005-0000-0000-000089570000}"/>
    <cellStyle name="Output 2 6 6 4 3 2" xfId="27919" xr:uid="{00000000-0005-0000-0000-00008A570000}"/>
    <cellStyle name="Output 2 6 6 4 4" xfId="10417" xr:uid="{00000000-0005-0000-0000-00008B570000}"/>
    <cellStyle name="Output 2 6 6 4 4 2" xfId="25249" xr:uid="{00000000-0005-0000-0000-00008C570000}"/>
    <cellStyle name="Output 2 6 6 5" xfId="5913" xr:uid="{00000000-0005-0000-0000-00008D570000}"/>
    <cellStyle name="Output 2 6 6 5 2" xfId="16105" xr:uid="{00000000-0005-0000-0000-00008E570000}"/>
    <cellStyle name="Output 2 6 6 5 2 2" xfId="30937" xr:uid="{00000000-0005-0000-0000-00008F570000}"/>
    <cellStyle name="Output 2 6 6 5 3" xfId="18420" xr:uid="{00000000-0005-0000-0000-000090570000}"/>
    <cellStyle name="Output 2 6 6 6" xfId="12175" xr:uid="{00000000-0005-0000-0000-000091570000}"/>
    <cellStyle name="Output 2 6 6 6 2" xfId="27007" xr:uid="{00000000-0005-0000-0000-000092570000}"/>
    <cellStyle name="Output 2 6 6 7" xfId="9771" xr:uid="{00000000-0005-0000-0000-000093570000}"/>
    <cellStyle name="Output 2 6 6 7 2" xfId="24728" xr:uid="{00000000-0005-0000-0000-000094570000}"/>
    <cellStyle name="Output 2 6 7" xfId="2185" xr:uid="{00000000-0005-0000-0000-000095570000}"/>
    <cellStyle name="Output 2 6 7 2" xfId="3559" xr:uid="{00000000-0005-0000-0000-000096570000}"/>
    <cellStyle name="Output 2 6 7 2 2" xfId="7621" xr:uid="{00000000-0005-0000-0000-000097570000}"/>
    <cellStyle name="Output 2 6 7 2 2 2" xfId="17257" xr:uid="{00000000-0005-0000-0000-000098570000}"/>
    <cellStyle name="Output 2 6 7 2 2 2 2" xfId="32089" xr:uid="{00000000-0005-0000-0000-000099570000}"/>
    <cellStyle name="Output 2 6 7 2 2 3" xfId="19080" xr:uid="{00000000-0005-0000-0000-00009A570000}"/>
    <cellStyle name="Output 2 6 7 2 3" xfId="13895" xr:uid="{00000000-0005-0000-0000-00009B570000}"/>
    <cellStyle name="Output 2 6 7 2 3 2" xfId="28727" xr:uid="{00000000-0005-0000-0000-00009C570000}"/>
    <cellStyle name="Output 2 6 7 2 4" xfId="10874" xr:uid="{00000000-0005-0000-0000-00009D570000}"/>
    <cellStyle name="Output 2 6 7 2 4 2" xfId="25706" xr:uid="{00000000-0005-0000-0000-00009E570000}"/>
    <cellStyle name="Output 2 6 7 3" xfId="5153" xr:uid="{00000000-0005-0000-0000-00009F570000}"/>
    <cellStyle name="Output 2 6 7 3 2" xfId="9192" xr:uid="{00000000-0005-0000-0000-0000A0570000}"/>
    <cellStyle name="Output 2 6 7 3 2 2" xfId="18115" xr:uid="{00000000-0005-0000-0000-0000A1570000}"/>
    <cellStyle name="Output 2 6 7 3 2 2 2" xfId="32947" xr:uid="{00000000-0005-0000-0000-0000A2570000}"/>
    <cellStyle name="Output 2 6 7 3 2 3" xfId="19666" xr:uid="{00000000-0005-0000-0000-0000A3570000}"/>
    <cellStyle name="Output 2 6 7 3 3" xfId="15471" xr:uid="{00000000-0005-0000-0000-0000A4570000}"/>
    <cellStyle name="Output 2 6 7 3 3 2" xfId="30303" xr:uid="{00000000-0005-0000-0000-0000A5570000}"/>
    <cellStyle name="Output 2 6 7 3 4" xfId="11712" xr:uid="{00000000-0005-0000-0000-0000A6570000}"/>
    <cellStyle name="Output 2 6 7 3 4 2" xfId="26544" xr:uid="{00000000-0005-0000-0000-0000A7570000}"/>
    <cellStyle name="Output 2 6 7 4" xfId="4183" xr:uid="{00000000-0005-0000-0000-0000A8570000}"/>
    <cellStyle name="Output 2 6 7 4 2" xfId="8224" xr:uid="{00000000-0005-0000-0000-0000A9570000}"/>
    <cellStyle name="Output 2 6 7 4 2 2" xfId="17571" xr:uid="{00000000-0005-0000-0000-0000AA570000}"/>
    <cellStyle name="Output 2 6 7 4 2 2 2" xfId="32403" xr:uid="{00000000-0005-0000-0000-0000AB570000}"/>
    <cellStyle name="Output 2 6 7 4 2 3" xfId="19309" xr:uid="{00000000-0005-0000-0000-0000AC570000}"/>
    <cellStyle name="Output 2 6 7 4 3" xfId="14515" xr:uid="{00000000-0005-0000-0000-0000AD570000}"/>
    <cellStyle name="Output 2 6 7 4 3 2" xfId="29347" xr:uid="{00000000-0005-0000-0000-0000AE570000}"/>
    <cellStyle name="Output 2 6 7 4 4" xfId="11191" xr:uid="{00000000-0005-0000-0000-0000AF570000}"/>
    <cellStyle name="Output 2 6 7 4 4 2" xfId="26023" xr:uid="{00000000-0005-0000-0000-0000B0570000}"/>
    <cellStyle name="Output 2 6 7 5" xfId="6299" xr:uid="{00000000-0005-0000-0000-0000B1570000}"/>
    <cellStyle name="Output 2 6 7 5 2" xfId="16483" xr:uid="{00000000-0005-0000-0000-0000B2570000}"/>
    <cellStyle name="Output 2 6 7 5 2 2" xfId="31315" xr:uid="{00000000-0005-0000-0000-0000B3570000}"/>
    <cellStyle name="Output 2 6 7 5 3" xfId="18602" xr:uid="{00000000-0005-0000-0000-0000B4570000}"/>
    <cellStyle name="Output 2 6 7 6" xfId="12553" xr:uid="{00000000-0005-0000-0000-0000B5570000}"/>
    <cellStyle name="Output 2 6 7 6 2" xfId="27385" xr:uid="{00000000-0005-0000-0000-0000B6570000}"/>
    <cellStyle name="Output 2 6 7 7" xfId="10135" xr:uid="{00000000-0005-0000-0000-0000B7570000}"/>
    <cellStyle name="Output 2 6 7 7 2" xfId="24967" xr:uid="{00000000-0005-0000-0000-0000B8570000}"/>
    <cellStyle name="Output 2 6 8" xfId="3160" xr:uid="{00000000-0005-0000-0000-0000B9570000}"/>
    <cellStyle name="Output 2 6 8 2" xfId="7224" xr:uid="{00000000-0005-0000-0000-0000BA570000}"/>
    <cellStyle name="Output 2 6 8 2 2" xfId="17002" xr:uid="{00000000-0005-0000-0000-0000BB570000}"/>
    <cellStyle name="Output 2 6 8 2 2 2" xfId="31834" xr:uid="{00000000-0005-0000-0000-0000BC570000}"/>
    <cellStyle name="Output 2 6 8 2 3" xfId="18946" xr:uid="{00000000-0005-0000-0000-0000BD570000}"/>
    <cellStyle name="Output 2 6 8 3" xfId="13498" xr:uid="{00000000-0005-0000-0000-0000BE570000}"/>
    <cellStyle name="Output 2 6 8 3 2" xfId="28330" xr:uid="{00000000-0005-0000-0000-0000BF570000}"/>
    <cellStyle name="Output 2 6 8 4" xfId="10654" xr:uid="{00000000-0005-0000-0000-0000C0570000}"/>
    <cellStyle name="Output 2 6 8 4 2" xfId="25486" xr:uid="{00000000-0005-0000-0000-0000C1570000}"/>
    <cellStyle name="Output 2 6 9" xfId="3255" xr:uid="{00000000-0005-0000-0000-0000C2570000}"/>
    <cellStyle name="Output 2 6 9 2" xfId="7319" xr:uid="{00000000-0005-0000-0000-0000C3570000}"/>
    <cellStyle name="Output 2 6 9 2 2" xfId="17071" xr:uid="{00000000-0005-0000-0000-0000C4570000}"/>
    <cellStyle name="Output 2 6 9 2 2 2" xfId="31903" xr:uid="{00000000-0005-0000-0000-0000C5570000}"/>
    <cellStyle name="Output 2 6 9 2 3" xfId="18974" xr:uid="{00000000-0005-0000-0000-0000C6570000}"/>
    <cellStyle name="Output 2 6 9 3" xfId="13592" xr:uid="{00000000-0005-0000-0000-0000C7570000}"/>
    <cellStyle name="Output 2 6 9 3 2" xfId="28424" xr:uid="{00000000-0005-0000-0000-0000C8570000}"/>
    <cellStyle name="Output 2 6 9 4" xfId="10701" xr:uid="{00000000-0005-0000-0000-0000C9570000}"/>
    <cellStyle name="Output 2 6 9 4 2" xfId="25533" xr:uid="{00000000-0005-0000-0000-0000CA570000}"/>
    <cellStyle name="Output 2 7" xfId="1237" xr:uid="{00000000-0005-0000-0000-0000CB570000}"/>
    <cellStyle name="Output 2 7 10" xfId="2323" xr:uid="{00000000-0005-0000-0000-0000CC570000}"/>
    <cellStyle name="Output 2 7 10 2" xfId="6435" xr:uid="{00000000-0005-0000-0000-0000CD570000}"/>
    <cellStyle name="Output 2 7 10 2 2" xfId="16528" xr:uid="{00000000-0005-0000-0000-0000CE570000}"/>
    <cellStyle name="Output 2 7 10 2 2 2" xfId="31360" xr:uid="{00000000-0005-0000-0000-0000CF570000}"/>
    <cellStyle name="Output 2 7 10 2 3" xfId="18616" xr:uid="{00000000-0005-0000-0000-0000D0570000}"/>
    <cellStyle name="Output 2 7 10 3" xfId="12663" xr:uid="{00000000-0005-0000-0000-0000D1570000}"/>
    <cellStyle name="Output 2 7 10 3 2" xfId="27495" xr:uid="{00000000-0005-0000-0000-0000D2570000}"/>
    <cellStyle name="Output 2 7 10 4" xfId="10179" xr:uid="{00000000-0005-0000-0000-0000D3570000}"/>
    <cellStyle name="Output 2 7 10 4 2" xfId="25011" xr:uid="{00000000-0005-0000-0000-0000D4570000}"/>
    <cellStyle name="Output 2 7 11" xfId="5286" xr:uid="{00000000-0005-0000-0000-0000D5570000}"/>
    <cellStyle name="Output 2 7 11 2" xfId="9294" xr:uid="{00000000-0005-0000-0000-0000D6570000}"/>
    <cellStyle name="Output 2 7 11 2 2" xfId="18161" xr:uid="{00000000-0005-0000-0000-0000D7570000}"/>
    <cellStyle name="Output 2 7 11 2 2 2" xfId="32993" xr:uid="{00000000-0005-0000-0000-0000D8570000}"/>
    <cellStyle name="Output 2 7 11 2 3" xfId="19680" xr:uid="{00000000-0005-0000-0000-0000D9570000}"/>
    <cellStyle name="Output 2 7 11 3" xfId="15602" xr:uid="{00000000-0005-0000-0000-0000DA570000}"/>
    <cellStyle name="Output 2 7 11 3 2" xfId="30434" xr:uid="{00000000-0005-0000-0000-0000DB570000}"/>
    <cellStyle name="Output 2 7 12" xfId="5444" xr:uid="{00000000-0005-0000-0000-0000DC570000}"/>
    <cellStyle name="Output 2 7 12 2" xfId="15680" xr:uid="{00000000-0005-0000-0000-0000DD570000}"/>
    <cellStyle name="Output 2 7 12 2 2" xfId="30512" xr:uid="{00000000-0005-0000-0000-0000DE570000}"/>
    <cellStyle name="Output 2 7 12 3" xfId="18257" xr:uid="{00000000-0005-0000-0000-0000DF570000}"/>
    <cellStyle name="Output 2 7 13" xfId="9347" xr:uid="{00000000-0005-0000-0000-0000E0570000}"/>
    <cellStyle name="Output 2 7 13 2" xfId="24653" xr:uid="{00000000-0005-0000-0000-0000E1570000}"/>
    <cellStyle name="Output 2 7 14" xfId="5336" xr:uid="{00000000-0005-0000-0000-0000E2570000}"/>
    <cellStyle name="Output 2 7 14 2" xfId="18210" xr:uid="{00000000-0005-0000-0000-0000E3570000}"/>
    <cellStyle name="Output 2 7 2" xfId="1356" xr:uid="{00000000-0005-0000-0000-0000E4570000}"/>
    <cellStyle name="Output 2 7 2 2" xfId="1860" xr:uid="{00000000-0005-0000-0000-0000E5570000}"/>
    <cellStyle name="Output 2 7 2 2 2" xfId="3517" xr:uid="{00000000-0005-0000-0000-0000E6570000}"/>
    <cellStyle name="Output 2 7 2 2 2 2" xfId="7579" xr:uid="{00000000-0005-0000-0000-0000E7570000}"/>
    <cellStyle name="Output 2 7 2 2 2 2 2" xfId="17232" xr:uid="{00000000-0005-0000-0000-0000E8570000}"/>
    <cellStyle name="Output 2 7 2 2 2 2 2 2" xfId="32064" xr:uid="{00000000-0005-0000-0000-0000E9570000}"/>
    <cellStyle name="Output 2 7 2 2 2 2 3" xfId="19061" xr:uid="{00000000-0005-0000-0000-0000EA570000}"/>
    <cellStyle name="Output 2 7 2 2 2 3" xfId="13854" xr:uid="{00000000-0005-0000-0000-0000EB570000}"/>
    <cellStyle name="Output 2 7 2 2 2 3 2" xfId="28686" xr:uid="{00000000-0005-0000-0000-0000EC570000}"/>
    <cellStyle name="Output 2 7 2 2 2 4" xfId="10850" xr:uid="{00000000-0005-0000-0000-0000ED570000}"/>
    <cellStyle name="Output 2 7 2 2 2 4 2" xfId="25682" xr:uid="{00000000-0005-0000-0000-0000EE570000}"/>
    <cellStyle name="Output 2 7 2 2 3" xfId="4838" xr:uid="{00000000-0005-0000-0000-0000EF570000}"/>
    <cellStyle name="Output 2 7 2 2 3 2" xfId="8877" xr:uid="{00000000-0005-0000-0000-0000F0570000}"/>
    <cellStyle name="Output 2 7 2 2 3 2 2" xfId="17918" xr:uid="{00000000-0005-0000-0000-0000F1570000}"/>
    <cellStyle name="Output 2 7 2 2 3 2 2 2" xfId="32750" xr:uid="{00000000-0005-0000-0000-0000F2570000}"/>
    <cellStyle name="Output 2 7 2 2 3 2 3" xfId="19520" xr:uid="{00000000-0005-0000-0000-0000F3570000}"/>
    <cellStyle name="Output 2 7 2 2 3 3" xfId="15162" xr:uid="{00000000-0005-0000-0000-0000F4570000}"/>
    <cellStyle name="Output 2 7 2 2 3 3 2" xfId="29994" xr:uid="{00000000-0005-0000-0000-0000F5570000}"/>
    <cellStyle name="Output 2 7 2 2 3 4" xfId="11521" xr:uid="{00000000-0005-0000-0000-0000F6570000}"/>
    <cellStyle name="Output 2 7 2 2 3 4 2" xfId="26353" xr:uid="{00000000-0005-0000-0000-0000F7570000}"/>
    <cellStyle name="Output 2 7 2 2 4" xfId="2828" xr:uid="{00000000-0005-0000-0000-0000F8570000}"/>
    <cellStyle name="Output 2 7 2 2 4 2" xfId="6919" xr:uid="{00000000-0005-0000-0000-0000F9570000}"/>
    <cellStyle name="Output 2 7 2 2 4 2 2" xfId="16812" xr:uid="{00000000-0005-0000-0000-0000FA570000}"/>
    <cellStyle name="Output 2 7 2 2 4 2 2 2" xfId="31644" xr:uid="{00000000-0005-0000-0000-0000FB570000}"/>
    <cellStyle name="Output 2 7 2 2 4 2 3" xfId="18811" xr:uid="{00000000-0005-0000-0000-0000FC570000}"/>
    <cellStyle name="Output 2 7 2 2 4 3" xfId="13166" xr:uid="{00000000-0005-0000-0000-0000FD570000}"/>
    <cellStyle name="Output 2 7 2 2 4 3 2" xfId="27998" xr:uid="{00000000-0005-0000-0000-0000FE570000}"/>
    <cellStyle name="Output 2 7 2 2 4 4" xfId="10465" xr:uid="{00000000-0005-0000-0000-0000FF570000}"/>
    <cellStyle name="Output 2 7 2 2 4 4 2" xfId="25297" xr:uid="{00000000-0005-0000-0000-000000580000}"/>
    <cellStyle name="Output 2 7 2 2 5" xfId="5992" xr:uid="{00000000-0005-0000-0000-000001580000}"/>
    <cellStyle name="Output 2 7 2 2 5 2" xfId="16184" xr:uid="{00000000-0005-0000-0000-000002580000}"/>
    <cellStyle name="Output 2 7 2 2 5 2 2" xfId="31016" xr:uid="{00000000-0005-0000-0000-000003580000}"/>
    <cellStyle name="Output 2 7 2 2 5 3" xfId="18453" xr:uid="{00000000-0005-0000-0000-000004580000}"/>
    <cellStyle name="Output 2 7 2 2 6" xfId="12254" xr:uid="{00000000-0005-0000-0000-000005580000}"/>
    <cellStyle name="Output 2 7 2 2 6 2" xfId="27086" xr:uid="{00000000-0005-0000-0000-000006580000}"/>
    <cellStyle name="Output 2 7 2 2 7" xfId="9850" xr:uid="{00000000-0005-0000-0000-000007580000}"/>
    <cellStyle name="Output 2 7 2 2 7 2" xfId="24776" xr:uid="{00000000-0005-0000-0000-000008580000}"/>
    <cellStyle name="Output 2 7 2 3" xfId="3921" xr:uid="{00000000-0005-0000-0000-000009580000}"/>
    <cellStyle name="Output 2 7 2 3 2" xfId="7972" xr:uid="{00000000-0005-0000-0000-00000A580000}"/>
    <cellStyle name="Output 2 7 2 3 2 2" xfId="17432" xr:uid="{00000000-0005-0000-0000-00000B580000}"/>
    <cellStyle name="Output 2 7 2 3 2 2 2" xfId="32264" xr:uid="{00000000-0005-0000-0000-00000C580000}"/>
    <cellStyle name="Output 2 7 2 3 2 3" xfId="19203" xr:uid="{00000000-0005-0000-0000-00000D580000}"/>
    <cellStyle name="Output 2 7 2 3 3" xfId="14254" xr:uid="{00000000-0005-0000-0000-00000E580000}"/>
    <cellStyle name="Output 2 7 2 3 3 2" xfId="29086" xr:uid="{00000000-0005-0000-0000-00000F580000}"/>
    <cellStyle name="Output 2 7 2 3 4" xfId="11047" xr:uid="{00000000-0005-0000-0000-000010580000}"/>
    <cellStyle name="Output 2 7 2 3 4 2" xfId="25879" xr:uid="{00000000-0005-0000-0000-000011580000}"/>
    <cellStyle name="Output 2 7 2 4" xfId="4418" xr:uid="{00000000-0005-0000-0000-000012580000}"/>
    <cellStyle name="Output 2 7 2 4 2" xfId="8457" xr:uid="{00000000-0005-0000-0000-000013580000}"/>
    <cellStyle name="Output 2 7 2 4 2 2" xfId="17678" xr:uid="{00000000-0005-0000-0000-000014580000}"/>
    <cellStyle name="Output 2 7 2 4 2 2 2" xfId="32510" xr:uid="{00000000-0005-0000-0000-000015580000}"/>
    <cellStyle name="Output 2 7 2 4 2 3" xfId="19360" xr:uid="{00000000-0005-0000-0000-000016580000}"/>
    <cellStyle name="Output 2 7 2 4 3" xfId="14747" xr:uid="{00000000-0005-0000-0000-000017580000}"/>
    <cellStyle name="Output 2 7 2 4 3 2" xfId="29579" xr:uid="{00000000-0005-0000-0000-000018580000}"/>
    <cellStyle name="Output 2 7 2 4 4" xfId="11286" xr:uid="{00000000-0005-0000-0000-000019580000}"/>
    <cellStyle name="Output 2 7 2 4 4 2" xfId="26118" xr:uid="{00000000-0005-0000-0000-00001A580000}"/>
    <cellStyle name="Output 2 7 2 5" xfId="2408" xr:uid="{00000000-0005-0000-0000-00001B580000}"/>
    <cellStyle name="Output 2 7 2 5 2" xfId="6520" xr:uid="{00000000-0005-0000-0000-00001C580000}"/>
    <cellStyle name="Output 2 7 2 5 2 2" xfId="16576" xr:uid="{00000000-0005-0000-0000-00001D580000}"/>
    <cellStyle name="Output 2 7 2 5 2 2 2" xfId="31408" xr:uid="{00000000-0005-0000-0000-00001E580000}"/>
    <cellStyle name="Output 2 7 2 5 2 3" xfId="18648" xr:uid="{00000000-0005-0000-0000-00001F580000}"/>
    <cellStyle name="Output 2 7 2 5 3" xfId="12747" xr:uid="{00000000-0005-0000-0000-000020580000}"/>
    <cellStyle name="Output 2 7 2 5 3 2" xfId="27579" xr:uid="{00000000-0005-0000-0000-000021580000}"/>
    <cellStyle name="Output 2 7 2 5 4" xfId="10226" xr:uid="{00000000-0005-0000-0000-000022580000}"/>
    <cellStyle name="Output 2 7 2 5 4 2" xfId="25058" xr:uid="{00000000-0005-0000-0000-000023580000}"/>
    <cellStyle name="Output 2 7 2 6" xfId="5533" xr:uid="{00000000-0005-0000-0000-000024580000}"/>
    <cellStyle name="Output 2 7 2 6 2" xfId="15768" xr:uid="{00000000-0005-0000-0000-000025580000}"/>
    <cellStyle name="Output 2 7 2 6 2 2" xfId="30600" xr:uid="{00000000-0005-0000-0000-000026580000}"/>
    <cellStyle name="Output 2 7 2 6 3" xfId="18290" xr:uid="{00000000-0005-0000-0000-000027580000}"/>
    <cellStyle name="Output 2 7 2 7" xfId="11783" xr:uid="{00000000-0005-0000-0000-000028580000}"/>
    <cellStyle name="Output 2 7 2 7 2" xfId="26615" xr:uid="{00000000-0005-0000-0000-000029580000}"/>
    <cellStyle name="Output 2 7 2 8" xfId="9454" xr:uid="{00000000-0005-0000-0000-00002A580000}"/>
    <cellStyle name="Output 2 7 2 8 2" xfId="19758" xr:uid="{00000000-0005-0000-0000-00002B580000}"/>
    <cellStyle name="Output 2 7 3" xfId="1526" xr:uid="{00000000-0005-0000-0000-00002C580000}"/>
    <cellStyle name="Output 2 7 3 2" xfId="2023" xr:uid="{00000000-0005-0000-0000-00002D580000}"/>
    <cellStyle name="Output 2 7 3 2 2" xfId="3725" xr:uid="{00000000-0005-0000-0000-00002E580000}"/>
    <cellStyle name="Output 2 7 3 2 2 2" xfId="7781" xr:uid="{00000000-0005-0000-0000-00002F580000}"/>
    <cellStyle name="Output 2 7 3 2 2 2 2" xfId="17335" xr:uid="{00000000-0005-0000-0000-000030580000}"/>
    <cellStyle name="Output 2 7 3 2 2 2 2 2" xfId="32167" xr:uid="{00000000-0005-0000-0000-000031580000}"/>
    <cellStyle name="Output 2 7 3 2 2 2 3" xfId="19132" xr:uid="{00000000-0005-0000-0000-000032580000}"/>
    <cellStyle name="Output 2 7 3 2 2 3" xfId="14060" xr:uid="{00000000-0005-0000-0000-000033580000}"/>
    <cellStyle name="Output 2 7 3 2 2 3 2" xfId="28892" xr:uid="{00000000-0005-0000-0000-000034580000}"/>
    <cellStyle name="Output 2 7 3 2 2 4" xfId="10951" xr:uid="{00000000-0005-0000-0000-000035580000}"/>
    <cellStyle name="Output 2 7 3 2 2 4 2" xfId="25783" xr:uid="{00000000-0005-0000-0000-000036580000}"/>
    <cellStyle name="Output 2 7 3 2 3" xfId="4991" xr:uid="{00000000-0005-0000-0000-000037580000}"/>
    <cellStyle name="Output 2 7 3 2 3 2" xfId="9030" xr:uid="{00000000-0005-0000-0000-000038580000}"/>
    <cellStyle name="Output 2 7 3 2 3 2 2" xfId="17968" xr:uid="{00000000-0005-0000-0000-000039580000}"/>
    <cellStyle name="Output 2 7 3 2 3 2 2 2" xfId="32800" xr:uid="{00000000-0005-0000-0000-00003A580000}"/>
    <cellStyle name="Output 2 7 3 2 3 2 3" xfId="19552" xr:uid="{00000000-0005-0000-0000-00003B580000}"/>
    <cellStyle name="Output 2 7 3 2 3 3" xfId="15313" xr:uid="{00000000-0005-0000-0000-00003C580000}"/>
    <cellStyle name="Output 2 7 3 2 3 3 2" xfId="30145" xr:uid="{00000000-0005-0000-0000-00003D580000}"/>
    <cellStyle name="Output 2 7 3 2 3 4" xfId="11569" xr:uid="{00000000-0005-0000-0000-00003E580000}"/>
    <cellStyle name="Output 2 7 3 2 3 4 2" xfId="26401" xr:uid="{00000000-0005-0000-0000-00003F580000}"/>
    <cellStyle name="Output 2 7 3 2 4" xfId="2981" xr:uid="{00000000-0005-0000-0000-000040580000}"/>
    <cellStyle name="Output 2 7 3 2 4 2" xfId="7061" xr:uid="{00000000-0005-0000-0000-000041580000}"/>
    <cellStyle name="Output 2 7 3 2 4 2 2" xfId="16860" xr:uid="{00000000-0005-0000-0000-000042580000}"/>
    <cellStyle name="Output 2 7 3 2 4 2 2 2" xfId="31692" xr:uid="{00000000-0005-0000-0000-000043580000}"/>
    <cellStyle name="Output 2 7 3 2 4 2 3" xfId="18844" xr:uid="{00000000-0005-0000-0000-000044580000}"/>
    <cellStyle name="Output 2 7 3 2 4 3" xfId="13319" xr:uid="{00000000-0005-0000-0000-000045580000}"/>
    <cellStyle name="Output 2 7 3 2 4 3 2" xfId="28151" xr:uid="{00000000-0005-0000-0000-000046580000}"/>
    <cellStyle name="Output 2 7 3 2 4 4" xfId="10515" xr:uid="{00000000-0005-0000-0000-000047580000}"/>
    <cellStyle name="Output 2 7 3 2 4 4 2" xfId="25347" xr:uid="{00000000-0005-0000-0000-000048580000}"/>
    <cellStyle name="Output 2 7 3 2 5" xfId="6153" xr:uid="{00000000-0005-0000-0000-000049580000}"/>
    <cellStyle name="Output 2 7 3 2 5 2" xfId="16340" xr:uid="{00000000-0005-0000-0000-00004A580000}"/>
    <cellStyle name="Output 2 7 3 2 5 2 2" xfId="31172" xr:uid="{00000000-0005-0000-0000-00004B580000}"/>
    <cellStyle name="Output 2 7 3 2 5 3" xfId="18485" xr:uid="{00000000-0005-0000-0000-00004C580000}"/>
    <cellStyle name="Output 2 7 3 2 6" xfId="12410" xr:uid="{00000000-0005-0000-0000-00004D580000}"/>
    <cellStyle name="Output 2 7 3 2 6 2" xfId="27242" xr:uid="{00000000-0005-0000-0000-00004E580000}"/>
    <cellStyle name="Output 2 7 3 2 7" xfId="9992" xr:uid="{00000000-0005-0000-0000-00004F580000}"/>
    <cellStyle name="Output 2 7 3 2 7 2" xfId="24824" xr:uid="{00000000-0005-0000-0000-000050580000}"/>
    <cellStyle name="Output 2 7 3 3" xfId="3693" xr:uid="{00000000-0005-0000-0000-000051580000}"/>
    <cellStyle name="Output 2 7 3 3 2" xfId="7749" xr:uid="{00000000-0005-0000-0000-000052580000}"/>
    <cellStyle name="Output 2 7 3 3 2 2" xfId="17318" xr:uid="{00000000-0005-0000-0000-000053580000}"/>
    <cellStyle name="Output 2 7 3 3 2 2 2" xfId="32150" xr:uid="{00000000-0005-0000-0000-000054580000}"/>
    <cellStyle name="Output 2 7 3 3 2 3" xfId="19124" xr:uid="{00000000-0005-0000-0000-000055580000}"/>
    <cellStyle name="Output 2 7 3 3 3" xfId="14028" xr:uid="{00000000-0005-0000-0000-000056580000}"/>
    <cellStyle name="Output 2 7 3 3 3 2" xfId="28860" xr:uid="{00000000-0005-0000-0000-000057580000}"/>
    <cellStyle name="Output 2 7 3 3 4" xfId="10936" xr:uid="{00000000-0005-0000-0000-000058580000}"/>
    <cellStyle name="Output 2 7 3 3 4 2" xfId="25768" xr:uid="{00000000-0005-0000-0000-000059580000}"/>
    <cellStyle name="Output 2 7 3 4" xfId="4571" xr:uid="{00000000-0005-0000-0000-00005A580000}"/>
    <cellStyle name="Output 2 7 3 4 2" xfId="8610" xr:uid="{00000000-0005-0000-0000-00005B580000}"/>
    <cellStyle name="Output 2 7 3 4 2 2" xfId="17728" xr:uid="{00000000-0005-0000-0000-00005C580000}"/>
    <cellStyle name="Output 2 7 3 4 2 2 2" xfId="32560" xr:uid="{00000000-0005-0000-0000-00005D580000}"/>
    <cellStyle name="Output 2 7 3 4 2 3" xfId="19392" xr:uid="{00000000-0005-0000-0000-00005E580000}"/>
    <cellStyle name="Output 2 7 3 4 3" xfId="14898" xr:uid="{00000000-0005-0000-0000-00005F580000}"/>
    <cellStyle name="Output 2 7 3 4 3 2" xfId="29730" xr:uid="{00000000-0005-0000-0000-000060580000}"/>
    <cellStyle name="Output 2 7 3 4 4" xfId="11334" xr:uid="{00000000-0005-0000-0000-000061580000}"/>
    <cellStyle name="Output 2 7 3 4 4 2" xfId="26166" xr:uid="{00000000-0005-0000-0000-000062580000}"/>
    <cellStyle name="Output 2 7 3 5" xfId="2561" xr:uid="{00000000-0005-0000-0000-000063580000}"/>
    <cellStyle name="Output 2 7 3 5 2" xfId="6667" xr:uid="{00000000-0005-0000-0000-000064580000}"/>
    <cellStyle name="Output 2 7 3 5 2 2" xfId="16625" xr:uid="{00000000-0005-0000-0000-000065580000}"/>
    <cellStyle name="Output 2 7 3 5 2 2 2" xfId="31457" xr:uid="{00000000-0005-0000-0000-000066580000}"/>
    <cellStyle name="Output 2 7 3 5 2 3" xfId="18680" xr:uid="{00000000-0005-0000-0000-000067580000}"/>
    <cellStyle name="Output 2 7 3 5 3" xfId="12899" xr:uid="{00000000-0005-0000-0000-000068580000}"/>
    <cellStyle name="Output 2 7 3 5 3 2" xfId="27731" xr:uid="{00000000-0005-0000-0000-000069580000}"/>
    <cellStyle name="Output 2 7 3 5 4" xfId="10275" xr:uid="{00000000-0005-0000-0000-00006A580000}"/>
    <cellStyle name="Output 2 7 3 5 4 2" xfId="25107" xr:uid="{00000000-0005-0000-0000-00006B580000}"/>
    <cellStyle name="Output 2 7 3 6" xfId="5684" xr:uid="{00000000-0005-0000-0000-00006C580000}"/>
    <cellStyle name="Output 2 7 3 6 2" xfId="15919" xr:uid="{00000000-0005-0000-0000-00006D580000}"/>
    <cellStyle name="Output 2 7 3 6 2 2" xfId="30751" xr:uid="{00000000-0005-0000-0000-00006E580000}"/>
    <cellStyle name="Output 2 7 3 6 3" xfId="18322" xr:uid="{00000000-0005-0000-0000-00006F580000}"/>
    <cellStyle name="Output 2 7 3 7" xfId="11939" xr:uid="{00000000-0005-0000-0000-000070580000}"/>
    <cellStyle name="Output 2 7 3 7 2" xfId="26771" xr:uid="{00000000-0005-0000-0000-000071580000}"/>
    <cellStyle name="Output 2 7 3 8" xfId="9597" xr:uid="{00000000-0005-0000-0000-000072580000}"/>
    <cellStyle name="Output 2 7 3 8 2" xfId="19899" xr:uid="{00000000-0005-0000-0000-000073580000}"/>
    <cellStyle name="Output 2 7 4" xfId="1581" xr:uid="{00000000-0005-0000-0000-000074580000}"/>
    <cellStyle name="Output 2 7 4 2" xfId="2078" xr:uid="{00000000-0005-0000-0000-000075580000}"/>
    <cellStyle name="Output 2 7 4 2 2" xfId="4066" xr:uid="{00000000-0005-0000-0000-000076580000}"/>
    <cellStyle name="Output 2 7 4 2 2 2" xfId="8113" xr:uid="{00000000-0005-0000-0000-000077580000}"/>
    <cellStyle name="Output 2 7 4 2 2 2 2" xfId="17502" xr:uid="{00000000-0005-0000-0000-000078580000}"/>
    <cellStyle name="Output 2 7 4 2 2 2 2 2" xfId="32334" xr:uid="{00000000-0005-0000-0000-000079580000}"/>
    <cellStyle name="Output 2 7 4 2 2 2 3" xfId="19254" xr:uid="{00000000-0005-0000-0000-00007A580000}"/>
    <cellStyle name="Output 2 7 4 2 2 3" xfId="14398" xr:uid="{00000000-0005-0000-0000-00007B580000}"/>
    <cellStyle name="Output 2 7 4 2 2 3 2" xfId="29230" xr:uid="{00000000-0005-0000-0000-00007C580000}"/>
    <cellStyle name="Output 2 7 4 2 2 4" xfId="11118" xr:uid="{00000000-0005-0000-0000-00007D580000}"/>
    <cellStyle name="Output 2 7 4 2 2 4 2" xfId="25950" xr:uid="{00000000-0005-0000-0000-00007E580000}"/>
    <cellStyle name="Output 2 7 4 2 3" xfId="5046" xr:uid="{00000000-0005-0000-0000-00007F580000}"/>
    <cellStyle name="Output 2 7 4 2 3 2" xfId="9085" xr:uid="{00000000-0005-0000-0000-000080580000}"/>
    <cellStyle name="Output 2 7 4 2 3 2 2" xfId="18018" xr:uid="{00000000-0005-0000-0000-000081580000}"/>
    <cellStyle name="Output 2 7 4 2 3 2 2 2" xfId="32850" xr:uid="{00000000-0005-0000-0000-000082580000}"/>
    <cellStyle name="Output 2 7 4 2 3 2 3" xfId="19584" xr:uid="{00000000-0005-0000-0000-000083580000}"/>
    <cellStyle name="Output 2 7 4 2 3 3" xfId="15367" xr:uid="{00000000-0005-0000-0000-000084580000}"/>
    <cellStyle name="Output 2 7 4 2 3 3 2" xfId="30199" xr:uid="{00000000-0005-0000-0000-000085580000}"/>
    <cellStyle name="Output 2 7 4 2 3 4" xfId="11618" xr:uid="{00000000-0005-0000-0000-000086580000}"/>
    <cellStyle name="Output 2 7 4 2 3 4 2" xfId="26450" xr:uid="{00000000-0005-0000-0000-000087580000}"/>
    <cellStyle name="Output 2 7 4 2 4" xfId="3036" xr:uid="{00000000-0005-0000-0000-000088580000}"/>
    <cellStyle name="Output 2 7 4 2 4 2" xfId="7111" xr:uid="{00000000-0005-0000-0000-000089580000}"/>
    <cellStyle name="Output 2 7 4 2 4 2 2" xfId="16909" xr:uid="{00000000-0005-0000-0000-00008A580000}"/>
    <cellStyle name="Output 2 7 4 2 4 2 2 2" xfId="31741" xr:uid="{00000000-0005-0000-0000-00008B580000}"/>
    <cellStyle name="Output 2 7 4 2 4 2 3" xfId="18877" xr:uid="{00000000-0005-0000-0000-00008C580000}"/>
    <cellStyle name="Output 2 7 4 2 4 3" xfId="13374" xr:uid="{00000000-0005-0000-0000-00008D580000}"/>
    <cellStyle name="Output 2 7 4 2 4 3 2" xfId="28206" xr:uid="{00000000-0005-0000-0000-00008E580000}"/>
    <cellStyle name="Output 2 7 4 2 4 4" xfId="10565" xr:uid="{00000000-0005-0000-0000-00008F580000}"/>
    <cellStyle name="Output 2 7 4 2 4 4 2" xfId="25397" xr:uid="{00000000-0005-0000-0000-000090580000}"/>
    <cellStyle name="Output 2 7 4 2 5" xfId="6203" xr:uid="{00000000-0005-0000-0000-000091580000}"/>
    <cellStyle name="Output 2 7 4 2 5 2" xfId="16389" xr:uid="{00000000-0005-0000-0000-000092580000}"/>
    <cellStyle name="Output 2 7 4 2 5 2 2" xfId="31221" xr:uid="{00000000-0005-0000-0000-000093580000}"/>
    <cellStyle name="Output 2 7 4 2 5 3" xfId="18518" xr:uid="{00000000-0005-0000-0000-000094580000}"/>
    <cellStyle name="Output 2 7 4 2 6" xfId="12459" xr:uid="{00000000-0005-0000-0000-000095580000}"/>
    <cellStyle name="Output 2 7 4 2 6 2" xfId="27291" xr:uid="{00000000-0005-0000-0000-000096580000}"/>
    <cellStyle name="Output 2 7 4 2 7" xfId="10041" xr:uid="{00000000-0005-0000-0000-000097580000}"/>
    <cellStyle name="Output 2 7 4 2 7 2" xfId="24873" xr:uid="{00000000-0005-0000-0000-000098580000}"/>
    <cellStyle name="Output 2 7 4 3" xfId="3186" xr:uid="{00000000-0005-0000-0000-000099580000}"/>
    <cellStyle name="Output 2 7 4 3 2" xfId="7250" xr:uid="{00000000-0005-0000-0000-00009A580000}"/>
    <cellStyle name="Output 2 7 4 3 2 2" xfId="17020" xr:uid="{00000000-0005-0000-0000-00009B580000}"/>
    <cellStyle name="Output 2 7 4 3 2 2 2" xfId="31852" xr:uid="{00000000-0005-0000-0000-00009C580000}"/>
    <cellStyle name="Output 2 7 4 3 2 3" xfId="18954" xr:uid="{00000000-0005-0000-0000-00009D580000}"/>
    <cellStyle name="Output 2 7 4 3 3" xfId="13524" xr:uid="{00000000-0005-0000-0000-00009E580000}"/>
    <cellStyle name="Output 2 7 4 3 3 2" xfId="28356" xr:uid="{00000000-0005-0000-0000-00009F580000}"/>
    <cellStyle name="Output 2 7 4 3 4" xfId="10668" xr:uid="{00000000-0005-0000-0000-0000A0580000}"/>
    <cellStyle name="Output 2 7 4 3 4 2" xfId="25500" xr:uid="{00000000-0005-0000-0000-0000A1580000}"/>
    <cellStyle name="Output 2 7 4 4" xfId="4626" xr:uid="{00000000-0005-0000-0000-0000A2580000}"/>
    <cellStyle name="Output 2 7 4 4 2" xfId="8665" xr:uid="{00000000-0005-0000-0000-0000A3580000}"/>
    <cellStyle name="Output 2 7 4 4 2 2" xfId="17778" xr:uid="{00000000-0005-0000-0000-0000A4580000}"/>
    <cellStyle name="Output 2 7 4 4 2 2 2" xfId="32610" xr:uid="{00000000-0005-0000-0000-0000A5580000}"/>
    <cellStyle name="Output 2 7 4 4 2 3" xfId="19424" xr:uid="{00000000-0005-0000-0000-0000A6580000}"/>
    <cellStyle name="Output 2 7 4 4 3" xfId="14952" xr:uid="{00000000-0005-0000-0000-0000A7580000}"/>
    <cellStyle name="Output 2 7 4 4 3 2" xfId="29784" xr:uid="{00000000-0005-0000-0000-0000A8580000}"/>
    <cellStyle name="Output 2 7 4 4 4" xfId="11383" xr:uid="{00000000-0005-0000-0000-0000A9580000}"/>
    <cellStyle name="Output 2 7 4 4 4 2" xfId="26215" xr:uid="{00000000-0005-0000-0000-0000AA580000}"/>
    <cellStyle name="Output 2 7 4 5" xfId="2616" xr:uid="{00000000-0005-0000-0000-0000AB580000}"/>
    <cellStyle name="Output 2 7 4 5 2" xfId="6717" xr:uid="{00000000-0005-0000-0000-0000AC580000}"/>
    <cellStyle name="Output 2 7 4 5 2 2" xfId="16674" xr:uid="{00000000-0005-0000-0000-0000AD580000}"/>
    <cellStyle name="Output 2 7 4 5 2 2 2" xfId="31506" xr:uid="{00000000-0005-0000-0000-0000AE580000}"/>
    <cellStyle name="Output 2 7 4 5 2 3" xfId="18713" xr:uid="{00000000-0005-0000-0000-0000AF580000}"/>
    <cellStyle name="Output 2 7 4 5 3" xfId="12954" xr:uid="{00000000-0005-0000-0000-0000B0580000}"/>
    <cellStyle name="Output 2 7 4 5 3 2" xfId="27786" xr:uid="{00000000-0005-0000-0000-0000B1580000}"/>
    <cellStyle name="Output 2 7 4 5 4" xfId="10325" xr:uid="{00000000-0005-0000-0000-0000B2580000}"/>
    <cellStyle name="Output 2 7 4 5 4 2" xfId="25157" xr:uid="{00000000-0005-0000-0000-0000B3580000}"/>
    <cellStyle name="Output 2 7 4 6" xfId="5733" xr:uid="{00000000-0005-0000-0000-0000B4580000}"/>
    <cellStyle name="Output 2 7 4 6 2" xfId="15968" xr:uid="{00000000-0005-0000-0000-0000B5580000}"/>
    <cellStyle name="Output 2 7 4 6 2 2" xfId="30800" xr:uid="{00000000-0005-0000-0000-0000B6580000}"/>
    <cellStyle name="Output 2 7 4 6 3" xfId="18354" xr:uid="{00000000-0005-0000-0000-0000B7580000}"/>
    <cellStyle name="Output 2 7 4 7" xfId="11988" xr:uid="{00000000-0005-0000-0000-0000B8580000}"/>
    <cellStyle name="Output 2 7 4 7 2" xfId="26820" xr:uid="{00000000-0005-0000-0000-0000B9580000}"/>
    <cellStyle name="Output 2 7 4 8" xfId="9647" xr:uid="{00000000-0005-0000-0000-0000BA580000}"/>
    <cellStyle name="Output 2 7 4 8 2" xfId="19948" xr:uid="{00000000-0005-0000-0000-0000BB580000}"/>
    <cellStyle name="Output 2 7 5" xfId="1631" xr:uid="{00000000-0005-0000-0000-0000BC580000}"/>
    <cellStyle name="Output 2 7 5 2" xfId="2128" xr:uid="{00000000-0005-0000-0000-0000BD580000}"/>
    <cellStyle name="Output 2 7 5 2 2" xfId="3492" xr:uid="{00000000-0005-0000-0000-0000BE580000}"/>
    <cellStyle name="Output 2 7 5 2 2 2" xfId="7554" xr:uid="{00000000-0005-0000-0000-0000BF580000}"/>
    <cellStyle name="Output 2 7 5 2 2 2 2" xfId="17215" xr:uid="{00000000-0005-0000-0000-0000C0580000}"/>
    <cellStyle name="Output 2 7 5 2 2 2 2 2" xfId="32047" xr:uid="{00000000-0005-0000-0000-0000C1580000}"/>
    <cellStyle name="Output 2 7 5 2 2 2 3" xfId="19051" xr:uid="{00000000-0005-0000-0000-0000C2580000}"/>
    <cellStyle name="Output 2 7 5 2 2 3" xfId="13829" xr:uid="{00000000-0005-0000-0000-0000C3580000}"/>
    <cellStyle name="Output 2 7 5 2 2 3 2" xfId="28661" xr:uid="{00000000-0005-0000-0000-0000C4580000}"/>
    <cellStyle name="Output 2 7 5 2 2 4" xfId="10833" xr:uid="{00000000-0005-0000-0000-0000C5580000}"/>
    <cellStyle name="Output 2 7 5 2 2 4 2" xfId="25665" xr:uid="{00000000-0005-0000-0000-0000C6580000}"/>
    <cellStyle name="Output 2 7 5 2 3" xfId="5096" xr:uid="{00000000-0005-0000-0000-0000C7580000}"/>
    <cellStyle name="Output 2 7 5 2 3 2" xfId="9135" xr:uid="{00000000-0005-0000-0000-0000C8580000}"/>
    <cellStyle name="Output 2 7 5 2 3 2 2" xfId="18063" xr:uid="{00000000-0005-0000-0000-0000C9580000}"/>
    <cellStyle name="Output 2 7 5 2 3 2 2 2" xfId="32895" xr:uid="{00000000-0005-0000-0000-0000CA580000}"/>
    <cellStyle name="Output 2 7 5 2 3 2 3" xfId="19616" xr:uid="{00000000-0005-0000-0000-0000CB580000}"/>
    <cellStyle name="Output 2 7 5 2 3 3" xfId="15416" xr:uid="{00000000-0005-0000-0000-0000CC580000}"/>
    <cellStyle name="Output 2 7 5 2 3 3 2" xfId="30248" xr:uid="{00000000-0005-0000-0000-0000CD580000}"/>
    <cellStyle name="Output 2 7 5 2 3 4" xfId="11662" xr:uid="{00000000-0005-0000-0000-0000CE580000}"/>
    <cellStyle name="Output 2 7 5 2 3 4 2" xfId="26494" xr:uid="{00000000-0005-0000-0000-0000CF580000}"/>
    <cellStyle name="Output 2 7 5 2 4" xfId="3086" xr:uid="{00000000-0005-0000-0000-0000D0580000}"/>
    <cellStyle name="Output 2 7 5 2 4 2" xfId="7156" xr:uid="{00000000-0005-0000-0000-0000D1580000}"/>
    <cellStyle name="Output 2 7 5 2 4 2 2" xfId="16953" xr:uid="{00000000-0005-0000-0000-0000D2580000}"/>
    <cellStyle name="Output 2 7 5 2 4 2 2 2" xfId="31785" xr:uid="{00000000-0005-0000-0000-0000D3580000}"/>
    <cellStyle name="Output 2 7 5 2 4 2 3" xfId="18910" xr:uid="{00000000-0005-0000-0000-0000D4580000}"/>
    <cellStyle name="Output 2 7 5 2 4 3" xfId="13424" xr:uid="{00000000-0005-0000-0000-0000D5580000}"/>
    <cellStyle name="Output 2 7 5 2 4 3 2" xfId="28256" xr:uid="{00000000-0005-0000-0000-0000D6580000}"/>
    <cellStyle name="Output 2 7 5 2 4 4" xfId="10610" xr:uid="{00000000-0005-0000-0000-0000D7580000}"/>
    <cellStyle name="Output 2 7 5 2 4 4 2" xfId="25442" xr:uid="{00000000-0005-0000-0000-0000D8580000}"/>
    <cellStyle name="Output 2 7 5 2 5" xfId="6248" xr:uid="{00000000-0005-0000-0000-0000D9580000}"/>
    <cellStyle name="Output 2 7 5 2 5 2" xfId="16433" xr:uid="{00000000-0005-0000-0000-0000DA580000}"/>
    <cellStyle name="Output 2 7 5 2 5 2 2" xfId="31265" xr:uid="{00000000-0005-0000-0000-0000DB580000}"/>
    <cellStyle name="Output 2 7 5 2 5 3" xfId="18551" xr:uid="{00000000-0005-0000-0000-0000DC580000}"/>
    <cellStyle name="Output 2 7 5 2 6" xfId="12503" xr:uid="{00000000-0005-0000-0000-0000DD580000}"/>
    <cellStyle name="Output 2 7 5 2 6 2" xfId="27335" xr:uid="{00000000-0005-0000-0000-0000DE580000}"/>
    <cellStyle name="Output 2 7 5 2 7" xfId="10085" xr:uid="{00000000-0005-0000-0000-0000DF580000}"/>
    <cellStyle name="Output 2 7 5 2 7 2" xfId="24917" xr:uid="{00000000-0005-0000-0000-0000E0580000}"/>
    <cellStyle name="Output 2 7 5 3" xfId="3586" xr:uid="{00000000-0005-0000-0000-0000E1580000}"/>
    <cellStyle name="Output 2 7 5 3 2" xfId="7648" xr:uid="{00000000-0005-0000-0000-0000E2580000}"/>
    <cellStyle name="Output 2 7 5 3 2 2" xfId="17272" xr:uid="{00000000-0005-0000-0000-0000E3580000}"/>
    <cellStyle name="Output 2 7 5 3 2 2 2" xfId="32104" xr:uid="{00000000-0005-0000-0000-0000E4580000}"/>
    <cellStyle name="Output 2 7 5 3 2 3" xfId="19092" xr:uid="{00000000-0005-0000-0000-0000E5580000}"/>
    <cellStyle name="Output 2 7 5 3 3" xfId="13922" xr:uid="{00000000-0005-0000-0000-0000E6580000}"/>
    <cellStyle name="Output 2 7 5 3 3 2" xfId="28754" xr:uid="{00000000-0005-0000-0000-0000E7580000}"/>
    <cellStyle name="Output 2 7 5 3 4" xfId="10889" xr:uid="{00000000-0005-0000-0000-0000E8580000}"/>
    <cellStyle name="Output 2 7 5 3 4 2" xfId="25721" xr:uid="{00000000-0005-0000-0000-0000E9580000}"/>
    <cellStyle name="Output 2 7 5 4" xfId="4676" xr:uid="{00000000-0005-0000-0000-0000EA580000}"/>
    <cellStyle name="Output 2 7 5 4 2" xfId="8715" xr:uid="{00000000-0005-0000-0000-0000EB580000}"/>
    <cellStyle name="Output 2 7 5 4 2 2" xfId="17823" xr:uid="{00000000-0005-0000-0000-0000EC580000}"/>
    <cellStyle name="Output 2 7 5 4 2 2 2" xfId="32655" xr:uid="{00000000-0005-0000-0000-0000ED580000}"/>
    <cellStyle name="Output 2 7 5 4 2 3" xfId="19456" xr:uid="{00000000-0005-0000-0000-0000EE580000}"/>
    <cellStyle name="Output 2 7 5 4 3" xfId="15001" xr:uid="{00000000-0005-0000-0000-0000EF580000}"/>
    <cellStyle name="Output 2 7 5 4 3 2" xfId="29833" xr:uid="{00000000-0005-0000-0000-0000F0580000}"/>
    <cellStyle name="Output 2 7 5 4 4" xfId="11427" xr:uid="{00000000-0005-0000-0000-0000F1580000}"/>
    <cellStyle name="Output 2 7 5 4 4 2" xfId="26259" xr:uid="{00000000-0005-0000-0000-0000F2580000}"/>
    <cellStyle name="Output 2 7 5 5" xfId="2666" xr:uid="{00000000-0005-0000-0000-0000F3580000}"/>
    <cellStyle name="Output 2 7 5 5 2" xfId="6762" xr:uid="{00000000-0005-0000-0000-0000F4580000}"/>
    <cellStyle name="Output 2 7 5 5 2 2" xfId="16718" xr:uid="{00000000-0005-0000-0000-0000F5580000}"/>
    <cellStyle name="Output 2 7 5 5 2 2 2" xfId="31550" xr:uid="{00000000-0005-0000-0000-0000F6580000}"/>
    <cellStyle name="Output 2 7 5 5 2 3" xfId="18746" xr:uid="{00000000-0005-0000-0000-0000F7580000}"/>
    <cellStyle name="Output 2 7 5 5 3" xfId="13004" xr:uid="{00000000-0005-0000-0000-0000F8580000}"/>
    <cellStyle name="Output 2 7 5 5 3 2" xfId="27836" xr:uid="{00000000-0005-0000-0000-0000F9580000}"/>
    <cellStyle name="Output 2 7 5 5 4" xfId="10370" xr:uid="{00000000-0005-0000-0000-0000FA580000}"/>
    <cellStyle name="Output 2 7 5 5 4 2" xfId="25202" xr:uid="{00000000-0005-0000-0000-0000FB580000}"/>
    <cellStyle name="Output 2 7 5 6" xfId="5778" xr:uid="{00000000-0005-0000-0000-0000FC580000}"/>
    <cellStyle name="Output 2 7 5 6 2" xfId="16012" xr:uid="{00000000-0005-0000-0000-0000FD580000}"/>
    <cellStyle name="Output 2 7 5 6 2 2" xfId="30844" xr:uid="{00000000-0005-0000-0000-0000FE580000}"/>
    <cellStyle name="Output 2 7 5 6 3" xfId="18387" xr:uid="{00000000-0005-0000-0000-0000FF580000}"/>
    <cellStyle name="Output 2 7 5 7" xfId="12032" xr:uid="{00000000-0005-0000-0000-000000590000}"/>
    <cellStyle name="Output 2 7 5 7 2" xfId="26864" xr:uid="{00000000-0005-0000-0000-000001590000}"/>
    <cellStyle name="Output 2 7 5 8" xfId="9692" xr:uid="{00000000-0005-0000-0000-000002590000}"/>
    <cellStyle name="Output 2 7 5 8 2" xfId="19992" xr:uid="{00000000-0005-0000-0000-000003590000}"/>
    <cellStyle name="Output 2 7 6" xfId="1782" xr:uid="{00000000-0005-0000-0000-000004590000}"/>
    <cellStyle name="Output 2 7 6 2" xfId="3901" xr:uid="{00000000-0005-0000-0000-000005590000}"/>
    <cellStyle name="Output 2 7 6 2 2" xfId="7952" xr:uid="{00000000-0005-0000-0000-000006590000}"/>
    <cellStyle name="Output 2 7 6 2 2 2" xfId="17420" xr:uid="{00000000-0005-0000-0000-000007590000}"/>
    <cellStyle name="Output 2 7 6 2 2 2 2" xfId="32252" xr:uid="{00000000-0005-0000-0000-000008590000}"/>
    <cellStyle name="Output 2 7 6 2 2 3" xfId="19193" xr:uid="{00000000-0005-0000-0000-000009590000}"/>
    <cellStyle name="Output 2 7 6 2 3" xfId="14234" xr:uid="{00000000-0005-0000-0000-00000A590000}"/>
    <cellStyle name="Output 2 7 6 2 3 2" xfId="29066" xr:uid="{00000000-0005-0000-0000-00000B590000}"/>
    <cellStyle name="Output 2 7 6 2 4" xfId="11036" xr:uid="{00000000-0005-0000-0000-00000C590000}"/>
    <cellStyle name="Output 2 7 6 2 4 2" xfId="25868" xr:uid="{00000000-0005-0000-0000-00000D590000}"/>
    <cellStyle name="Output 2 7 6 3" xfId="4760" xr:uid="{00000000-0005-0000-0000-00000E590000}"/>
    <cellStyle name="Output 2 7 6 3 2" xfId="8799" xr:uid="{00000000-0005-0000-0000-00000F590000}"/>
    <cellStyle name="Output 2 7 6 3 2 2" xfId="17871" xr:uid="{00000000-0005-0000-0000-000010590000}"/>
    <cellStyle name="Output 2 7 6 3 2 2 2" xfId="32703" xr:uid="{00000000-0005-0000-0000-000011590000}"/>
    <cellStyle name="Output 2 7 6 3 2 3" xfId="19488" xr:uid="{00000000-0005-0000-0000-000012590000}"/>
    <cellStyle name="Output 2 7 6 3 3" xfId="15084" xr:uid="{00000000-0005-0000-0000-000013590000}"/>
    <cellStyle name="Output 2 7 6 3 3 2" xfId="29916" xr:uid="{00000000-0005-0000-0000-000014590000}"/>
    <cellStyle name="Output 2 7 6 3 4" xfId="11474" xr:uid="{00000000-0005-0000-0000-000015590000}"/>
    <cellStyle name="Output 2 7 6 3 4 2" xfId="26306" xr:uid="{00000000-0005-0000-0000-000016590000}"/>
    <cellStyle name="Output 2 7 6 4" xfId="2750" xr:uid="{00000000-0005-0000-0000-000017590000}"/>
    <cellStyle name="Output 2 7 6 4 2" xfId="6841" xr:uid="{00000000-0005-0000-0000-000018590000}"/>
    <cellStyle name="Output 2 7 6 4 2 2" xfId="16765" xr:uid="{00000000-0005-0000-0000-000019590000}"/>
    <cellStyle name="Output 2 7 6 4 2 2 2" xfId="31597" xr:uid="{00000000-0005-0000-0000-00001A590000}"/>
    <cellStyle name="Output 2 7 6 4 2 3" xfId="18779" xr:uid="{00000000-0005-0000-0000-00001B590000}"/>
    <cellStyle name="Output 2 7 6 4 3" xfId="13088" xr:uid="{00000000-0005-0000-0000-00001C590000}"/>
    <cellStyle name="Output 2 7 6 4 3 2" xfId="27920" xr:uid="{00000000-0005-0000-0000-00001D590000}"/>
    <cellStyle name="Output 2 7 6 4 4" xfId="10418" xr:uid="{00000000-0005-0000-0000-00001E590000}"/>
    <cellStyle name="Output 2 7 6 4 4 2" xfId="25250" xr:uid="{00000000-0005-0000-0000-00001F590000}"/>
    <cellStyle name="Output 2 7 6 5" xfId="5914" xr:uid="{00000000-0005-0000-0000-000020590000}"/>
    <cellStyle name="Output 2 7 6 5 2" xfId="16106" xr:uid="{00000000-0005-0000-0000-000021590000}"/>
    <cellStyle name="Output 2 7 6 5 2 2" xfId="30938" xr:uid="{00000000-0005-0000-0000-000022590000}"/>
    <cellStyle name="Output 2 7 6 5 3" xfId="18421" xr:uid="{00000000-0005-0000-0000-000023590000}"/>
    <cellStyle name="Output 2 7 6 6" xfId="12176" xr:uid="{00000000-0005-0000-0000-000024590000}"/>
    <cellStyle name="Output 2 7 6 6 2" xfId="27008" xr:uid="{00000000-0005-0000-0000-000025590000}"/>
    <cellStyle name="Output 2 7 6 7" xfId="9772" xr:uid="{00000000-0005-0000-0000-000026590000}"/>
    <cellStyle name="Output 2 7 6 7 2" xfId="24729" xr:uid="{00000000-0005-0000-0000-000027590000}"/>
    <cellStyle name="Output 2 7 7" xfId="2184" xr:uid="{00000000-0005-0000-0000-000028590000}"/>
    <cellStyle name="Output 2 7 7 2" xfId="4067" xr:uid="{00000000-0005-0000-0000-000029590000}"/>
    <cellStyle name="Output 2 7 7 2 2" xfId="8114" xr:uid="{00000000-0005-0000-0000-00002A590000}"/>
    <cellStyle name="Output 2 7 7 2 2 2" xfId="17503" xr:uid="{00000000-0005-0000-0000-00002B590000}"/>
    <cellStyle name="Output 2 7 7 2 2 2 2" xfId="32335" xr:uid="{00000000-0005-0000-0000-00002C590000}"/>
    <cellStyle name="Output 2 7 7 2 2 3" xfId="19255" xr:uid="{00000000-0005-0000-0000-00002D590000}"/>
    <cellStyle name="Output 2 7 7 2 3" xfId="14399" xr:uid="{00000000-0005-0000-0000-00002E590000}"/>
    <cellStyle name="Output 2 7 7 2 3 2" xfId="29231" xr:uid="{00000000-0005-0000-0000-00002F590000}"/>
    <cellStyle name="Output 2 7 7 2 4" xfId="11119" xr:uid="{00000000-0005-0000-0000-000030590000}"/>
    <cellStyle name="Output 2 7 7 2 4 2" xfId="25951" xr:uid="{00000000-0005-0000-0000-000031590000}"/>
    <cellStyle name="Output 2 7 7 3" xfId="5152" xr:uid="{00000000-0005-0000-0000-000032590000}"/>
    <cellStyle name="Output 2 7 7 3 2" xfId="9191" xr:uid="{00000000-0005-0000-0000-000033590000}"/>
    <cellStyle name="Output 2 7 7 3 2 2" xfId="18114" xr:uid="{00000000-0005-0000-0000-000034590000}"/>
    <cellStyle name="Output 2 7 7 3 2 2 2" xfId="32946" xr:uid="{00000000-0005-0000-0000-000035590000}"/>
    <cellStyle name="Output 2 7 7 3 2 3" xfId="19665" xr:uid="{00000000-0005-0000-0000-000036590000}"/>
    <cellStyle name="Output 2 7 7 3 3" xfId="15470" xr:uid="{00000000-0005-0000-0000-000037590000}"/>
    <cellStyle name="Output 2 7 7 3 3 2" xfId="30302" xr:uid="{00000000-0005-0000-0000-000038590000}"/>
    <cellStyle name="Output 2 7 7 3 4" xfId="11711" xr:uid="{00000000-0005-0000-0000-000039590000}"/>
    <cellStyle name="Output 2 7 7 3 4 2" xfId="26543" xr:uid="{00000000-0005-0000-0000-00003A590000}"/>
    <cellStyle name="Output 2 7 7 4" xfId="4182" xr:uid="{00000000-0005-0000-0000-00003B590000}"/>
    <cellStyle name="Output 2 7 7 4 2" xfId="8223" xr:uid="{00000000-0005-0000-0000-00003C590000}"/>
    <cellStyle name="Output 2 7 7 4 2 2" xfId="17570" xr:uid="{00000000-0005-0000-0000-00003D590000}"/>
    <cellStyle name="Output 2 7 7 4 2 2 2" xfId="32402" xr:uid="{00000000-0005-0000-0000-00003E590000}"/>
    <cellStyle name="Output 2 7 7 4 2 3" xfId="19308" xr:uid="{00000000-0005-0000-0000-00003F590000}"/>
    <cellStyle name="Output 2 7 7 4 3" xfId="14514" xr:uid="{00000000-0005-0000-0000-000040590000}"/>
    <cellStyle name="Output 2 7 7 4 3 2" xfId="29346" xr:uid="{00000000-0005-0000-0000-000041590000}"/>
    <cellStyle name="Output 2 7 7 4 4" xfId="11190" xr:uid="{00000000-0005-0000-0000-000042590000}"/>
    <cellStyle name="Output 2 7 7 4 4 2" xfId="26022" xr:uid="{00000000-0005-0000-0000-000043590000}"/>
    <cellStyle name="Output 2 7 7 5" xfId="6298" xr:uid="{00000000-0005-0000-0000-000044590000}"/>
    <cellStyle name="Output 2 7 7 5 2" xfId="16482" xr:uid="{00000000-0005-0000-0000-000045590000}"/>
    <cellStyle name="Output 2 7 7 5 2 2" xfId="31314" xr:uid="{00000000-0005-0000-0000-000046590000}"/>
    <cellStyle name="Output 2 7 7 5 3" xfId="18601" xr:uid="{00000000-0005-0000-0000-000047590000}"/>
    <cellStyle name="Output 2 7 7 6" xfId="12552" xr:uid="{00000000-0005-0000-0000-000048590000}"/>
    <cellStyle name="Output 2 7 7 6 2" xfId="27384" xr:uid="{00000000-0005-0000-0000-000049590000}"/>
    <cellStyle name="Output 2 7 7 7" xfId="10134" xr:uid="{00000000-0005-0000-0000-00004A590000}"/>
    <cellStyle name="Output 2 7 7 7 2" xfId="24966" xr:uid="{00000000-0005-0000-0000-00004B590000}"/>
    <cellStyle name="Output 2 7 8" xfId="3277" xr:uid="{00000000-0005-0000-0000-00004C590000}"/>
    <cellStyle name="Output 2 7 8 2" xfId="7341" xr:uid="{00000000-0005-0000-0000-00004D590000}"/>
    <cellStyle name="Output 2 7 8 2 2" xfId="17085" xr:uid="{00000000-0005-0000-0000-00004E590000}"/>
    <cellStyle name="Output 2 7 8 2 2 2" xfId="31917" xr:uid="{00000000-0005-0000-0000-00004F590000}"/>
    <cellStyle name="Output 2 7 8 2 3" xfId="18980" xr:uid="{00000000-0005-0000-0000-000050590000}"/>
    <cellStyle name="Output 2 7 8 3" xfId="13614" xr:uid="{00000000-0005-0000-0000-000051590000}"/>
    <cellStyle name="Output 2 7 8 3 2" xfId="28446" xr:uid="{00000000-0005-0000-0000-000052590000}"/>
    <cellStyle name="Output 2 7 8 4" xfId="10713" xr:uid="{00000000-0005-0000-0000-000053590000}"/>
    <cellStyle name="Output 2 7 8 4 2" xfId="25545" xr:uid="{00000000-0005-0000-0000-000054590000}"/>
    <cellStyle name="Output 2 7 9" xfId="3129" xr:uid="{00000000-0005-0000-0000-000055590000}"/>
    <cellStyle name="Output 2 7 9 2" xfId="7193" xr:uid="{00000000-0005-0000-0000-000056590000}"/>
    <cellStyle name="Output 2 7 9 2 2" xfId="16984" xr:uid="{00000000-0005-0000-0000-000057590000}"/>
    <cellStyle name="Output 2 7 9 2 2 2" xfId="31816" xr:uid="{00000000-0005-0000-0000-000058590000}"/>
    <cellStyle name="Output 2 7 9 2 3" xfId="18938" xr:uid="{00000000-0005-0000-0000-000059590000}"/>
    <cellStyle name="Output 2 7 9 3" xfId="13467" xr:uid="{00000000-0005-0000-0000-00005A590000}"/>
    <cellStyle name="Output 2 7 9 3 2" xfId="28299" xr:uid="{00000000-0005-0000-0000-00005B590000}"/>
    <cellStyle name="Output 2 7 9 4" xfId="10640" xr:uid="{00000000-0005-0000-0000-00005C590000}"/>
    <cellStyle name="Output 2 7 9 4 2" xfId="25472" xr:uid="{00000000-0005-0000-0000-00005D590000}"/>
    <cellStyle name="Output 2 8" xfId="1238" xr:uid="{00000000-0005-0000-0000-00005E590000}"/>
    <cellStyle name="Output 2 8 10" xfId="2324" xr:uid="{00000000-0005-0000-0000-00005F590000}"/>
    <cellStyle name="Output 2 8 10 2" xfId="6436" xr:uid="{00000000-0005-0000-0000-000060590000}"/>
    <cellStyle name="Output 2 8 10 2 2" xfId="16529" xr:uid="{00000000-0005-0000-0000-000061590000}"/>
    <cellStyle name="Output 2 8 10 2 2 2" xfId="31361" xr:uid="{00000000-0005-0000-0000-000062590000}"/>
    <cellStyle name="Output 2 8 10 2 3" xfId="18617" xr:uid="{00000000-0005-0000-0000-000063590000}"/>
    <cellStyle name="Output 2 8 10 3" xfId="12664" xr:uid="{00000000-0005-0000-0000-000064590000}"/>
    <cellStyle name="Output 2 8 10 3 2" xfId="27496" xr:uid="{00000000-0005-0000-0000-000065590000}"/>
    <cellStyle name="Output 2 8 10 4" xfId="10180" xr:uid="{00000000-0005-0000-0000-000066590000}"/>
    <cellStyle name="Output 2 8 10 4 2" xfId="25012" xr:uid="{00000000-0005-0000-0000-000067590000}"/>
    <cellStyle name="Output 2 8 11" xfId="5287" xr:uid="{00000000-0005-0000-0000-000068590000}"/>
    <cellStyle name="Output 2 8 11 2" xfId="9295" xr:uid="{00000000-0005-0000-0000-000069590000}"/>
    <cellStyle name="Output 2 8 11 2 2" xfId="18162" xr:uid="{00000000-0005-0000-0000-00006A590000}"/>
    <cellStyle name="Output 2 8 11 2 2 2" xfId="32994" xr:uid="{00000000-0005-0000-0000-00006B590000}"/>
    <cellStyle name="Output 2 8 11 2 3" xfId="19681" xr:uid="{00000000-0005-0000-0000-00006C590000}"/>
    <cellStyle name="Output 2 8 11 3" xfId="15603" xr:uid="{00000000-0005-0000-0000-00006D590000}"/>
    <cellStyle name="Output 2 8 11 3 2" xfId="30435" xr:uid="{00000000-0005-0000-0000-00006E590000}"/>
    <cellStyle name="Output 2 8 12" xfId="5445" xr:uid="{00000000-0005-0000-0000-00006F590000}"/>
    <cellStyle name="Output 2 8 12 2" xfId="15681" xr:uid="{00000000-0005-0000-0000-000070590000}"/>
    <cellStyle name="Output 2 8 12 2 2" xfId="30513" xr:uid="{00000000-0005-0000-0000-000071590000}"/>
    <cellStyle name="Output 2 8 12 3" xfId="18258" xr:uid="{00000000-0005-0000-0000-000072590000}"/>
    <cellStyle name="Output 2 8 13" xfId="9346" xr:uid="{00000000-0005-0000-0000-000073590000}"/>
    <cellStyle name="Output 2 8 13 2" xfId="24652" xr:uid="{00000000-0005-0000-0000-000074590000}"/>
    <cellStyle name="Output 2 8 14" xfId="5335" xr:uid="{00000000-0005-0000-0000-000075590000}"/>
    <cellStyle name="Output 2 8 14 2" xfId="18209" xr:uid="{00000000-0005-0000-0000-000076590000}"/>
    <cellStyle name="Output 2 8 2" xfId="1357" xr:uid="{00000000-0005-0000-0000-000077590000}"/>
    <cellStyle name="Output 2 8 2 2" xfId="1861" xr:uid="{00000000-0005-0000-0000-000078590000}"/>
    <cellStyle name="Output 2 8 2 2 2" xfId="3909" xr:uid="{00000000-0005-0000-0000-000079590000}"/>
    <cellStyle name="Output 2 8 2 2 2 2" xfId="7960" xr:uid="{00000000-0005-0000-0000-00007A590000}"/>
    <cellStyle name="Output 2 8 2 2 2 2 2" xfId="17425" xr:uid="{00000000-0005-0000-0000-00007B590000}"/>
    <cellStyle name="Output 2 8 2 2 2 2 2 2" xfId="32257" xr:uid="{00000000-0005-0000-0000-00007C590000}"/>
    <cellStyle name="Output 2 8 2 2 2 2 3" xfId="19198" xr:uid="{00000000-0005-0000-0000-00007D590000}"/>
    <cellStyle name="Output 2 8 2 2 2 3" xfId="14242" xr:uid="{00000000-0005-0000-0000-00007E590000}"/>
    <cellStyle name="Output 2 8 2 2 2 3 2" xfId="29074" xr:uid="{00000000-0005-0000-0000-00007F590000}"/>
    <cellStyle name="Output 2 8 2 2 2 4" xfId="11041" xr:uid="{00000000-0005-0000-0000-000080590000}"/>
    <cellStyle name="Output 2 8 2 2 2 4 2" xfId="25873" xr:uid="{00000000-0005-0000-0000-000081590000}"/>
    <cellStyle name="Output 2 8 2 2 3" xfId="4839" xr:uid="{00000000-0005-0000-0000-000082590000}"/>
    <cellStyle name="Output 2 8 2 2 3 2" xfId="8878" xr:uid="{00000000-0005-0000-0000-000083590000}"/>
    <cellStyle name="Output 2 8 2 2 3 2 2" xfId="17919" xr:uid="{00000000-0005-0000-0000-000084590000}"/>
    <cellStyle name="Output 2 8 2 2 3 2 2 2" xfId="32751" xr:uid="{00000000-0005-0000-0000-000085590000}"/>
    <cellStyle name="Output 2 8 2 2 3 2 3" xfId="19521" xr:uid="{00000000-0005-0000-0000-000086590000}"/>
    <cellStyle name="Output 2 8 2 2 3 3" xfId="15163" xr:uid="{00000000-0005-0000-0000-000087590000}"/>
    <cellStyle name="Output 2 8 2 2 3 3 2" xfId="29995" xr:uid="{00000000-0005-0000-0000-000088590000}"/>
    <cellStyle name="Output 2 8 2 2 3 4" xfId="11522" xr:uid="{00000000-0005-0000-0000-000089590000}"/>
    <cellStyle name="Output 2 8 2 2 3 4 2" xfId="26354" xr:uid="{00000000-0005-0000-0000-00008A590000}"/>
    <cellStyle name="Output 2 8 2 2 4" xfId="2829" xr:uid="{00000000-0005-0000-0000-00008B590000}"/>
    <cellStyle name="Output 2 8 2 2 4 2" xfId="6920" xr:uid="{00000000-0005-0000-0000-00008C590000}"/>
    <cellStyle name="Output 2 8 2 2 4 2 2" xfId="16813" xr:uid="{00000000-0005-0000-0000-00008D590000}"/>
    <cellStyle name="Output 2 8 2 2 4 2 2 2" xfId="31645" xr:uid="{00000000-0005-0000-0000-00008E590000}"/>
    <cellStyle name="Output 2 8 2 2 4 2 3" xfId="18812" xr:uid="{00000000-0005-0000-0000-00008F590000}"/>
    <cellStyle name="Output 2 8 2 2 4 3" xfId="13167" xr:uid="{00000000-0005-0000-0000-000090590000}"/>
    <cellStyle name="Output 2 8 2 2 4 3 2" xfId="27999" xr:uid="{00000000-0005-0000-0000-000091590000}"/>
    <cellStyle name="Output 2 8 2 2 4 4" xfId="10466" xr:uid="{00000000-0005-0000-0000-000092590000}"/>
    <cellStyle name="Output 2 8 2 2 4 4 2" xfId="25298" xr:uid="{00000000-0005-0000-0000-000093590000}"/>
    <cellStyle name="Output 2 8 2 2 5" xfId="5993" xr:uid="{00000000-0005-0000-0000-000094590000}"/>
    <cellStyle name="Output 2 8 2 2 5 2" xfId="16185" xr:uid="{00000000-0005-0000-0000-000095590000}"/>
    <cellStyle name="Output 2 8 2 2 5 2 2" xfId="31017" xr:uid="{00000000-0005-0000-0000-000096590000}"/>
    <cellStyle name="Output 2 8 2 2 5 3" xfId="18454" xr:uid="{00000000-0005-0000-0000-000097590000}"/>
    <cellStyle name="Output 2 8 2 2 6" xfId="12255" xr:uid="{00000000-0005-0000-0000-000098590000}"/>
    <cellStyle name="Output 2 8 2 2 6 2" xfId="27087" xr:uid="{00000000-0005-0000-0000-000099590000}"/>
    <cellStyle name="Output 2 8 2 2 7" xfId="9851" xr:uid="{00000000-0005-0000-0000-00009A590000}"/>
    <cellStyle name="Output 2 8 2 2 7 2" xfId="24777" xr:uid="{00000000-0005-0000-0000-00009B590000}"/>
    <cellStyle name="Output 2 8 2 3" xfId="4092" xr:uid="{00000000-0005-0000-0000-00009C590000}"/>
    <cellStyle name="Output 2 8 2 3 2" xfId="8138" xr:uid="{00000000-0005-0000-0000-00009D590000}"/>
    <cellStyle name="Output 2 8 2 3 2 2" xfId="17513" xr:uid="{00000000-0005-0000-0000-00009E590000}"/>
    <cellStyle name="Output 2 8 2 3 2 2 2" xfId="32345" xr:uid="{00000000-0005-0000-0000-00009F590000}"/>
    <cellStyle name="Output 2 8 2 3 2 3" xfId="19263" xr:uid="{00000000-0005-0000-0000-0000A0590000}"/>
    <cellStyle name="Output 2 8 2 3 3" xfId="14424" xr:uid="{00000000-0005-0000-0000-0000A1590000}"/>
    <cellStyle name="Output 2 8 2 3 3 2" xfId="29256" xr:uid="{00000000-0005-0000-0000-0000A2590000}"/>
    <cellStyle name="Output 2 8 2 3 4" xfId="11130" xr:uid="{00000000-0005-0000-0000-0000A3590000}"/>
    <cellStyle name="Output 2 8 2 3 4 2" xfId="25962" xr:uid="{00000000-0005-0000-0000-0000A4590000}"/>
    <cellStyle name="Output 2 8 2 4" xfId="4419" xr:uid="{00000000-0005-0000-0000-0000A5590000}"/>
    <cellStyle name="Output 2 8 2 4 2" xfId="8458" xr:uid="{00000000-0005-0000-0000-0000A6590000}"/>
    <cellStyle name="Output 2 8 2 4 2 2" xfId="17679" xr:uid="{00000000-0005-0000-0000-0000A7590000}"/>
    <cellStyle name="Output 2 8 2 4 2 2 2" xfId="32511" xr:uid="{00000000-0005-0000-0000-0000A8590000}"/>
    <cellStyle name="Output 2 8 2 4 2 3" xfId="19361" xr:uid="{00000000-0005-0000-0000-0000A9590000}"/>
    <cellStyle name="Output 2 8 2 4 3" xfId="14748" xr:uid="{00000000-0005-0000-0000-0000AA590000}"/>
    <cellStyle name="Output 2 8 2 4 3 2" xfId="29580" xr:uid="{00000000-0005-0000-0000-0000AB590000}"/>
    <cellStyle name="Output 2 8 2 4 4" xfId="11287" xr:uid="{00000000-0005-0000-0000-0000AC590000}"/>
    <cellStyle name="Output 2 8 2 4 4 2" xfId="26119" xr:uid="{00000000-0005-0000-0000-0000AD590000}"/>
    <cellStyle name="Output 2 8 2 5" xfId="2409" xr:uid="{00000000-0005-0000-0000-0000AE590000}"/>
    <cellStyle name="Output 2 8 2 5 2" xfId="6521" xr:uid="{00000000-0005-0000-0000-0000AF590000}"/>
    <cellStyle name="Output 2 8 2 5 2 2" xfId="16577" xr:uid="{00000000-0005-0000-0000-0000B0590000}"/>
    <cellStyle name="Output 2 8 2 5 2 2 2" xfId="31409" xr:uid="{00000000-0005-0000-0000-0000B1590000}"/>
    <cellStyle name="Output 2 8 2 5 2 3" xfId="18649" xr:uid="{00000000-0005-0000-0000-0000B2590000}"/>
    <cellStyle name="Output 2 8 2 5 3" xfId="12748" xr:uid="{00000000-0005-0000-0000-0000B3590000}"/>
    <cellStyle name="Output 2 8 2 5 3 2" xfId="27580" xr:uid="{00000000-0005-0000-0000-0000B4590000}"/>
    <cellStyle name="Output 2 8 2 5 4" xfId="10227" xr:uid="{00000000-0005-0000-0000-0000B5590000}"/>
    <cellStyle name="Output 2 8 2 5 4 2" xfId="25059" xr:uid="{00000000-0005-0000-0000-0000B6590000}"/>
    <cellStyle name="Output 2 8 2 6" xfId="5534" xr:uid="{00000000-0005-0000-0000-0000B7590000}"/>
    <cellStyle name="Output 2 8 2 6 2" xfId="15769" xr:uid="{00000000-0005-0000-0000-0000B8590000}"/>
    <cellStyle name="Output 2 8 2 6 2 2" xfId="30601" xr:uid="{00000000-0005-0000-0000-0000B9590000}"/>
    <cellStyle name="Output 2 8 2 6 3" xfId="18291" xr:uid="{00000000-0005-0000-0000-0000BA590000}"/>
    <cellStyle name="Output 2 8 2 7" xfId="11784" xr:uid="{00000000-0005-0000-0000-0000BB590000}"/>
    <cellStyle name="Output 2 8 2 7 2" xfId="26616" xr:uid="{00000000-0005-0000-0000-0000BC590000}"/>
    <cellStyle name="Output 2 8 2 8" xfId="9455" xr:uid="{00000000-0005-0000-0000-0000BD590000}"/>
    <cellStyle name="Output 2 8 2 8 2" xfId="19759" xr:uid="{00000000-0005-0000-0000-0000BE590000}"/>
    <cellStyle name="Output 2 8 3" xfId="1527" xr:uid="{00000000-0005-0000-0000-0000BF590000}"/>
    <cellStyle name="Output 2 8 3 2" xfId="2024" xr:uid="{00000000-0005-0000-0000-0000C0590000}"/>
    <cellStyle name="Output 2 8 3 2 2" xfId="3903" xr:uid="{00000000-0005-0000-0000-0000C1590000}"/>
    <cellStyle name="Output 2 8 3 2 2 2" xfId="7954" xr:uid="{00000000-0005-0000-0000-0000C2590000}"/>
    <cellStyle name="Output 2 8 3 2 2 2 2" xfId="17421" xr:uid="{00000000-0005-0000-0000-0000C3590000}"/>
    <cellStyle name="Output 2 8 3 2 2 2 2 2" xfId="32253" xr:uid="{00000000-0005-0000-0000-0000C4590000}"/>
    <cellStyle name="Output 2 8 3 2 2 2 3" xfId="19194" xr:uid="{00000000-0005-0000-0000-0000C5590000}"/>
    <cellStyle name="Output 2 8 3 2 2 3" xfId="14236" xr:uid="{00000000-0005-0000-0000-0000C6590000}"/>
    <cellStyle name="Output 2 8 3 2 2 3 2" xfId="29068" xr:uid="{00000000-0005-0000-0000-0000C7590000}"/>
    <cellStyle name="Output 2 8 3 2 2 4" xfId="11037" xr:uid="{00000000-0005-0000-0000-0000C8590000}"/>
    <cellStyle name="Output 2 8 3 2 2 4 2" xfId="25869" xr:uid="{00000000-0005-0000-0000-0000C9590000}"/>
    <cellStyle name="Output 2 8 3 2 3" xfId="4992" xr:uid="{00000000-0005-0000-0000-0000CA590000}"/>
    <cellStyle name="Output 2 8 3 2 3 2" xfId="9031" xr:uid="{00000000-0005-0000-0000-0000CB590000}"/>
    <cellStyle name="Output 2 8 3 2 3 2 2" xfId="17969" xr:uid="{00000000-0005-0000-0000-0000CC590000}"/>
    <cellStyle name="Output 2 8 3 2 3 2 2 2" xfId="32801" xr:uid="{00000000-0005-0000-0000-0000CD590000}"/>
    <cellStyle name="Output 2 8 3 2 3 2 3" xfId="19553" xr:uid="{00000000-0005-0000-0000-0000CE590000}"/>
    <cellStyle name="Output 2 8 3 2 3 3" xfId="15314" xr:uid="{00000000-0005-0000-0000-0000CF590000}"/>
    <cellStyle name="Output 2 8 3 2 3 3 2" xfId="30146" xr:uid="{00000000-0005-0000-0000-0000D0590000}"/>
    <cellStyle name="Output 2 8 3 2 3 4" xfId="11570" xr:uid="{00000000-0005-0000-0000-0000D1590000}"/>
    <cellStyle name="Output 2 8 3 2 3 4 2" xfId="26402" xr:uid="{00000000-0005-0000-0000-0000D2590000}"/>
    <cellStyle name="Output 2 8 3 2 4" xfId="2982" xr:uid="{00000000-0005-0000-0000-0000D3590000}"/>
    <cellStyle name="Output 2 8 3 2 4 2" xfId="7062" xr:uid="{00000000-0005-0000-0000-0000D4590000}"/>
    <cellStyle name="Output 2 8 3 2 4 2 2" xfId="16861" xr:uid="{00000000-0005-0000-0000-0000D5590000}"/>
    <cellStyle name="Output 2 8 3 2 4 2 2 2" xfId="31693" xr:uid="{00000000-0005-0000-0000-0000D6590000}"/>
    <cellStyle name="Output 2 8 3 2 4 2 3" xfId="18845" xr:uid="{00000000-0005-0000-0000-0000D7590000}"/>
    <cellStyle name="Output 2 8 3 2 4 3" xfId="13320" xr:uid="{00000000-0005-0000-0000-0000D8590000}"/>
    <cellStyle name="Output 2 8 3 2 4 3 2" xfId="28152" xr:uid="{00000000-0005-0000-0000-0000D9590000}"/>
    <cellStyle name="Output 2 8 3 2 4 4" xfId="10516" xr:uid="{00000000-0005-0000-0000-0000DA590000}"/>
    <cellStyle name="Output 2 8 3 2 4 4 2" xfId="25348" xr:uid="{00000000-0005-0000-0000-0000DB590000}"/>
    <cellStyle name="Output 2 8 3 2 5" xfId="6154" xr:uid="{00000000-0005-0000-0000-0000DC590000}"/>
    <cellStyle name="Output 2 8 3 2 5 2" xfId="16341" xr:uid="{00000000-0005-0000-0000-0000DD590000}"/>
    <cellStyle name="Output 2 8 3 2 5 2 2" xfId="31173" xr:uid="{00000000-0005-0000-0000-0000DE590000}"/>
    <cellStyle name="Output 2 8 3 2 5 3" xfId="18486" xr:uid="{00000000-0005-0000-0000-0000DF590000}"/>
    <cellStyle name="Output 2 8 3 2 6" xfId="12411" xr:uid="{00000000-0005-0000-0000-0000E0590000}"/>
    <cellStyle name="Output 2 8 3 2 6 2" xfId="27243" xr:uid="{00000000-0005-0000-0000-0000E1590000}"/>
    <cellStyle name="Output 2 8 3 2 7" xfId="9993" xr:uid="{00000000-0005-0000-0000-0000E2590000}"/>
    <cellStyle name="Output 2 8 3 2 7 2" xfId="24825" xr:uid="{00000000-0005-0000-0000-0000E3590000}"/>
    <cellStyle name="Output 2 8 3 3" xfId="4302" xr:uid="{00000000-0005-0000-0000-0000E4590000}"/>
    <cellStyle name="Output 2 8 3 3 2" xfId="8341" xr:uid="{00000000-0005-0000-0000-0000E5590000}"/>
    <cellStyle name="Output 2 8 3 3 2 2" xfId="17620" xr:uid="{00000000-0005-0000-0000-0000E6590000}"/>
    <cellStyle name="Output 2 8 3 3 2 2 2" xfId="32452" xr:uid="{00000000-0005-0000-0000-0000E7590000}"/>
    <cellStyle name="Output 2 8 3 3 2 3" xfId="19326" xr:uid="{00000000-0005-0000-0000-0000E8590000}"/>
    <cellStyle name="Output 2 8 3 3 3" xfId="14633" xr:uid="{00000000-0005-0000-0000-0000E9590000}"/>
    <cellStyle name="Output 2 8 3 3 3 2" xfId="29465" xr:uid="{00000000-0005-0000-0000-0000EA590000}"/>
    <cellStyle name="Output 2 8 3 3 4" xfId="11232" xr:uid="{00000000-0005-0000-0000-0000EB590000}"/>
    <cellStyle name="Output 2 8 3 3 4 2" xfId="26064" xr:uid="{00000000-0005-0000-0000-0000EC590000}"/>
    <cellStyle name="Output 2 8 3 4" xfId="4572" xr:uid="{00000000-0005-0000-0000-0000ED590000}"/>
    <cellStyle name="Output 2 8 3 4 2" xfId="8611" xr:uid="{00000000-0005-0000-0000-0000EE590000}"/>
    <cellStyle name="Output 2 8 3 4 2 2" xfId="17729" xr:uid="{00000000-0005-0000-0000-0000EF590000}"/>
    <cellStyle name="Output 2 8 3 4 2 2 2" xfId="32561" xr:uid="{00000000-0005-0000-0000-0000F0590000}"/>
    <cellStyle name="Output 2 8 3 4 2 3" xfId="19393" xr:uid="{00000000-0005-0000-0000-0000F1590000}"/>
    <cellStyle name="Output 2 8 3 4 3" xfId="14899" xr:uid="{00000000-0005-0000-0000-0000F2590000}"/>
    <cellStyle name="Output 2 8 3 4 3 2" xfId="29731" xr:uid="{00000000-0005-0000-0000-0000F3590000}"/>
    <cellStyle name="Output 2 8 3 4 4" xfId="11335" xr:uid="{00000000-0005-0000-0000-0000F4590000}"/>
    <cellStyle name="Output 2 8 3 4 4 2" xfId="26167" xr:uid="{00000000-0005-0000-0000-0000F5590000}"/>
    <cellStyle name="Output 2 8 3 5" xfId="2562" xr:uid="{00000000-0005-0000-0000-0000F6590000}"/>
    <cellStyle name="Output 2 8 3 5 2" xfId="6668" xr:uid="{00000000-0005-0000-0000-0000F7590000}"/>
    <cellStyle name="Output 2 8 3 5 2 2" xfId="16626" xr:uid="{00000000-0005-0000-0000-0000F8590000}"/>
    <cellStyle name="Output 2 8 3 5 2 2 2" xfId="31458" xr:uid="{00000000-0005-0000-0000-0000F9590000}"/>
    <cellStyle name="Output 2 8 3 5 2 3" xfId="18681" xr:uid="{00000000-0005-0000-0000-0000FA590000}"/>
    <cellStyle name="Output 2 8 3 5 3" xfId="12900" xr:uid="{00000000-0005-0000-0000-0000FB590000}"/>
    <cellStyle name="Output 2 8 3 5 3 2" xfId="27732" xr:uid="{00000000-0005-0000-0000-0000FC590000}"/>
    <cellStyle name="Output 2 8 3 5 4" xfId="10276" xr:uid="{00000000-0005-0000-0000-0000FD590000}"/>
    <cellStyle name="Output 2 8 3 5 4 2" xfId="25108" xr:uid="{00000000-0005-0000-0000-0000FE590000}"/>
    <cellStyle name="Output 2 8 3 6" xfId="5685" xr:uid="{00000000-0005-0000-0000-0000FF590000}"/>
    <cellStyle name="Output 2 8 3 6 2" xfId="15920" xr:uid="{00000000-0005-0000-0000-0000005A0000}"/>
    <cellStyle name="Output 2 8 3 6 2 2" xfId="30752" xr:uid="{00000000-0005-0000-0000-0000015A0000}"/>
    <cellStyle name="Output 2 8 3 6 3" xfId="18323" xr:uid="{00000000-0005-0000-0000-0000025A0000}"/>
    <cellStyle name="Output 2 8 3 7" xfId="11940" xr:uid="{00000000-0005-0000-0000-0000035A0000}"/>
    <cellStyle name="Output 2 8 3 7 2" xfId="26772" xr:uid="{00000000-0005-0000-0000-0000045A0000}"/>
    <cellStyle name="Output 2 8 3 8" xfId="9598" xr:uid="{00000000-0005-0000-0000-0000055A0000}"/>
    <cellStyle name="Output 2 8 3 8 2" xfId="19900" xr:uid="{00000000-0005-0000-0000-0000065A0000}"/>
    <cellStyle name="Output 2 8 4" xfId="1582" xr:uid="{00000000-0005-0000-0000-0000075A0000}"/>
    <cellStyle name="Output 2 8 4 2" xfId="2079" xr:uid="{00000000-0005-0000-0000-0000085A0000}"/>
    <cellStyle name="Output 2 8 4 2 2" xfId="3936" xr:uid="{00000000-0005-0000-0000-0000095A0000}"/>
    <cellStyle name="Output 2 8 4 2 2 2" xfId="7986" xr:uid="{00000000-0005-0000-0000-00000A5A0000}"/>
    <cellStyle name="Output 2 8 4 2 2 2 2" xfId="17440" xr:uid="{00000000-0005-0000-0000-00000B5A0000}"/>
    <cellStyle name="Output 2 8 4 2 2 2 2 2" xfId="32272" xr:uid="{00000000-0005-0000-0000-00000C5A0000}"/>
    <cellStyle name="Output 2 8 4 2 2 2 3" xfId="19209" xr:uid="{00000000-0005-0000-0000-00000D5A0000}"/>
    <cellStyle name="Output 2 8 4 2 2 3" xfId="14269" xr:uid="{00000000-0005-0000-0000-00000E5A0000}"/>
    <cellStyle name="Output 2 8 4 2 2 3 2" xfId="29101" xr:uid="{00000000-0005-0000-0000-00000F5A0000}"/>
    <cellStyle name="Output 2 8 4 2 2 4" xfId="11055" xr:uid="{00000000-0005-0000-0000-0000105A0000}"/>
    <cellStyle name="Output 2 8 4 2 2 4 2" xfId="25887" xr:uid="{00000000-0005-0000-0000-0000115A0000}"/>
    <cellStyle name="Output 2 8 4 2 3" xfId="5047" xr:uid="{00000000-0005-0000-0000-0000125A0000}"/>
    <cellStyle name="Output 2 8 4 2 3 2" xfId="9086" xr:uid="{00000000-0005-0000-0000-0000135A0000}"/>
    <cellStyle name="Output 2 8 4 2 3 2 2" xfId="18019" xr:uid="{00000000-0005-0000-0000-0000145A0000}"/>
    <cellStyle name="Output 2 8 4 2 3 2 2 2" xfId="32851" xr:uid="{00000000-0005-0000-0000-0000155A0000}"/>
    <cellStyle name="Output 2 8 4 2 3 2 3" xfId="19585" xr:uid="{00000000-0005-0000-0000-0000165A0000}"/>
    <cellStyle name="Output 2 8 4 2 3 3" xfId="15368" xr:uid="{00000000-0005-0000-0000-0000175A0000}"/>
    <cellStyle name="Output 2 8 4 2 3 3 2" xfId="30200" xr:uid="{00000000-0005-0000-0000-0000185A0000}"/>
    <cellStyle name="Output 2 8 4 2 3 4" xfId="11619" xr:uid="{00000000-0005-0000-0000-0000195A0000}"/>
    <cellStyle name="Output 2 8 4 2 3 4 2" xfId="26451" xr:uid="{00000000-0005-0000-0000-00001A5A0000}"/>
    <cellStyle name="Output 2 8 4 2 4" xfId="3037" xr:uid="{00000000-0005-0000-0000-00001B5A0000}"/>
    <cellStyle name="Output 2 8 4 2 4 2" xfId="7112" xr:uid="{00000000-0005-0000-0000-00001C5A0000}"/>
    <cellStyle name="Output 2 8 4 2 4 2 2" xfId="16910" xr:uid="{00000000-0005-0000-0000-00001D5A0000}"/>
    <cellStyle name="Output 2 8 4 2 4 2 2 2" xfId="31742" xr:uid="{00000000-0005-0000-0000-00001E5A0000}"/>
    <cellStyle name="Output 2 8 4 2 4 2 3" xfId="18878" xr:uid="{00000000-0005-0000-0000-00001F5A0000}"/>
    <cellStyle name="Output 2 8 4 2 4 3" xfId="13375" xr:uid="{00000000-0005-0000-0000-0000205A0000}"/>
    <cellStyle name="Output 2 8 4 2 4 3 2" xfId="28207" xr:uid="{00000000-0005-0000-0000-0000215A0000}"/>
    <cellStyle name="Output 2 8 4 2 4 4" xfId="10566" xr:uid="{00000000-0005-0000-0000-0000225A0000}"/>
    <cellStyle name="Output 2 8 4 2 4 4 2" xfId="25398" xr:uid="{00000000-0005-0000-0000-0000235A0000}"/>
    <cellStyle name="Output 2 8 4 2 5" xfId="6204" xr:uid="{00000000-0005-0000-0000-0000245A0000}"/>
    <cellStyle name="Output 2 8 4 2 5 2" xfId="16390" xr:uid="{00000000-0005-0000-0000-0000255A0000}"/>
    <cellStyle name="Output 2 8 4 2 5 2 2" xfId="31222" xr:uid="{00000000-0005-0000-0000-0000265A0000}"/>
    <cellStyle name="Output 2 8 4 2 5 3" xfId="18519" xr:uid="{00000000-0005-0000-0000-0000275A0000}"/>
    <cellStyle name="Output 2 8 4 2 6" xfId="12460" xr:uid="{00000000-0005-0000-0000-0000285A0000}"/>
    <cellStyle name="Output 2 8 4 2 6 2" xfId="27292" xr:uid="{00000000-0005-0000-0000-0000295A0000}"/>
    <cellStyle name="Output 2 8 4 2 7" xfId="10042" xr:uid="{00000000-0005-0000-0000-00002A5A0000}"/>
    <cellStyle name="Output 2 8 4 2 7 2" xfId="24874" xr:uid="{00000000-0005-0000-0000-00002B5A0000}"/>
    <cellStyle name="Output 2 8 4 3" xfId="4329" xr:uid="{00000000-0005-0000-0000-00002C5A0000}"/>
    <cellStyle name="Output 2 8 4 3 2" xfId="8368" xr:uid="{00000000-0005-0000-0000-00002D5A0000}"/>
    <cellStyle name="Output 2 8 4 3 2 2" xfId="17646" xr:uid="{00000000-0005-0000-0000-00002E5A0000}"/>
    <cellStyle name="Output 2 8 4 3 2 2 2" xfId="32478" xr:uid="{00000000-0005-0000-0000-00002F5A0000}"/>
    <cellStyle name="Output 2 8 4 3 2 3" xfId="19346" xr:uid="{00000000-0005-0000-0000-0000305A0000}"/>
    <cellStyle name="Output 2 8 4 3 3" xfId="14660" xr:uid="{00000000-0005-0000-0000-0000315A0000}"/>
    <cellStyle name="Output 2 8 4 3 3 2" xfId="29492" xr:uid="{00000000-0005-0000-0000-0000325A0000}"/>
    <cellStyle name="Output 2 8 4 3 4" xfId="11256" xr:uid="{00000000-0005-0000-0000-0000335A0000}"/>
    <cellStyle name="Output 2 8 4 3 4 2" xfId="26088" xr:uid="{00000000-0005-0000-0000-0000345A0000}"/>
    <cellStyle name="Output 2 8 4 4" xfId="4627" xr:uid="{00000000-0005-0000-0000-0000355A0000}"/>
    <cellStyle name="Output 2 8 4 4 2" xfId="8666" xr:uid="{00000000-0005-0000-0000-0000365A0000}"/>
    <cellStyle name="Output 2 8 4 4 2 2" xfId="17779" xr:uid="{00000000-0005-0000-0000-0000375A0000}"/>
    <cellStyle name="Output 2 8 4 4 2 2 2" xfId="32611" xr:uid="{00000000-0005-0000-0000-0000385A0000}"/>
    <cellStyle name="Output 2 8 4 4 2 3" xfId="19425" xr:uid="{00000000-0005-0000-0000-0000395A0000}"/>
    <cellStyle name="Output 2 8 4 4 3" xfId="14953" xr:uid="{00000000-0005-0000-0000-00003A5A0000}"/>
    <cellStyle name="Output 2 8 4 4 3 2" xfId="29785" xr:uid="{00000000-0005-0000-0000-00003B5A0000}"/>
    <cellStyle name="Output 2 8 4 4 4" xfId="11384" xr:uid="{00000000-0005-0000-0000-00003C5A0000}"/>
    <cellStyle name="Output 2 8 4 4 4 2" xfId="26216" xr:uid="{00000000-0005-0000-0000-00003D5A0000}"/>
    <cellStyle name="Output 2 8 4 5" xfId="2617" xr:uid="{00000000-0005-0000-0000-00003E5A0000}"/>
    <cellStyle name="Output 2 8 4 5 2" xfId="6718" xr:uid="{00000000-0005-0000-0000-00003F5A0000}"/>
    <cellStyle name="Output 2 8 4 5 2 2" xfId="16675" xr:uid="{00000000-0005-0000-0000-0000405A0000}"/>
    <cellStyle name="Output 2 8 4 5 2 2 2" xfId="31507" xr:uid="{00000000-0005-0000-0000-0000415A0000}"/>
    <cellStyle name="Output 2 8 4 5 2 3" xfId="18714" xr:uid="{00000000-0005-0000-0000-0000425A0000}"/>
    <cellStyle name="Output 2 8 4 5 3" xfId="12955" xr:uid="{00000000-0005-0000-0000-0000435A0000}"/>
    <cellStyle name="Output 2 8 4 5 3 2" xfId="27787" xr:uid="{00000000-0005-0000-0000-0000445A0000}"/>
    <cellStyle name="Output 2 8 4 5 4" xfId="10326" xr:uid="{00000000-0005-0000-0000-0000455A0000}"/>
    <cellStyle name="Output 2 8 4 5 4 2" xfId="25158" xr:uid="{00000000-0005-0000-0000-0000465A0000}"/>
    <cellStyle name="Output 2 8 4 6" xfId="5734" xr:uid="{00000000-0005-0000-0000-0000475A0000}"/>
    <cellStyle name="Output 2 8 4 6 2" xfId="15969" xr:uid="{00000000-0005-0000-0000-0000485A0000}"/>
    <cellStyle name="Output 2 8 4 6 2 2" xfId="30801" xr:uid="{00000000-0005-0000-0000-0000495A0000}"/>
    <cellStyle name="Output 2 8 4 6 3" xfId="18355" xr:uid="{00000000-0005-0000-0000-00004A5A0000}"/>
    <cellStyle name="Output 2 8 4 7" xfId="11989" xr:uid="{00000000-0005-0000-0000-00004B5A0000}"/>
    <cellStyle name="Output 2 8 4 7 2" xfId="26821" xr:uid="{00000000-0005-0000-0000-00004C5A0000}"/>
    <cellStyle name="Output 2 8 4 8" xfId="9648" xr:uid="{00000000-0005-0000-0000-00004D5A0000}"/>
    <cellStyle name="Output 2 8 4 8 2" xfId="19949" xr:uid="{00000000-0005-0000-0000-00004E5A0000}"/>
    <cellStyle name="Output 2 8 5" xfId="1632" xr:uid="{00000000-0005-0000-0000-00004F5A0000}"/>
    <cellStyle name="Output 2 8 5 2" xfId="2129" xr:uid="{00000000-0005-0000-0000-0000505A0000}"/>
    <cellStyle name="Output 2 8 5 2 2" xfId="3907" xr:uid="{00000000-0005-0000-0000-0000515A0000}"/>
    <cellStyle name="Output 2 8 5 2 2 2" xfId="7958" xr:uid="{00000000-0005-0000-0000-0000525A0000}"/>
    <cellStyle name="Output 2 8 5 2 2 2 2" xfId="17424" xr:uid="{00000000-0005-0000-0000-0000535A0000}"/>
    <cellStyle name="Output 2 8 5 2 2 2 2 2" xfId="32256" xr:uid="{00000000-0005-0000-0000-0000545A0000}"/>
    <cellStyle name="Output 2 8 5 2 2 2 3" xfId="19197" xr:uid="{00000000-0005-0000-0000-0000555A0000}"/>
    <cellStyle name="Output 2 8 5 2 2 3" xfId="14240" xr:uid="{00000000-0005-0000-0000-0000565A0000}"/>
    <cellStyle name="Output 2 8 5 2 2 3 2" xfId="29072" xr:uid="{00000000-0005-0000-0000-0000575A0000}"/>
    <cellStyle name="Output 2 8 5 2 2 4" xfId="11040" xr:uid="{00000000-0005-0000-0000-0000585A0000}"/>
    <cellStyle name="Output 2 8 5 2 2 4 2" xfId="25872" xr:uid="{00000000-0005-0000-0000-0000595A0000}"/>
    <cellStyle name="Output 2 8 5 2 3" xfId="5097" xr:uid="{00000000-0005-0000-0000-00005A5A0000}"/>
    <cellStyle name="Output 2 8 5 2 3 2" xfId="9136" xr:uid="{00000000-0005-0000-0000-00005B5A0000}"/>
    <cellStyle name="Output 2 8 5 2 3 2 2" xfId="18064" xr:uid="{00000000-0005-0000-0000-00005C5A0000}"/>
    <cellStyle name="Output 2 8 5 2 3 2 2 2" xfId="32896" xr:uid="{00000000-0005-0000-0000-00005D5A0000}"/>
    <cellStyle name="Output 2 8 5 2 3 2 3" xfId="19617" xr:uid="{00000000-0005-0000-0000-00005E5A0000}"/>
    <cellStyle name="Output 2 8 5 2 3 3" xfId="15417" xr:uid="{00000000-0005-0000-0000-00005F5A0000}"/>
    <cellStyle name="Output 2 8 5 2 3 3 2" xfId="30249" xr:uid="{00000000-0005-0000-0000-0000605A0000}"/>
    <cellStyle name="Output 2 8 5 2 3 4" xfId="11663" xr:uid="{00000000-0005-0000-0000-0000615A0000}"/>
    <cellStyle name="Output 2 8 5 2 3 4 2" xfId="26495" xr:uid="{00000000-0005-0000-0000-0000625A0000}"/>
    <cellStyle name="Output 2 8 5 2 4" xfId="3087" xr:uid="{00000000-0005-0000-0000-0000635A0000}"/>
    <cellStyle name="Output 2 8 5 2 4 2" xfId="7157" xr:uid="{00000000-0005-0000-0000-0000645A0000}"/>
    <cellStyle name="Output 2 8 5 2 4 2 2" xfId="16954" xr:uid="{00000000-0005-0000-0000-0000655A0000}"/>
    <cellStyle name="Output 2 8 5 2 4 2 2 2" xfId="31786" xr:uid="{00000000-0005-0000-0000-0000665A0000}"/>
    <cellStyle name="Output 2 8 5 2 4 2 3" xfId="18911" xr:uid="{00000000-0005-0000-0000-0000675A0000}"/>
    <cellStyle name="Output 2 8 5 2 4 3" xfId="13425" xr:uid="{00000000-0005-0000-0000-0000685A0000}"/>
    <cellStyle name="Output 2 8 5 2 4 3 2" xfId="28257" xr:uid="{00000000-0005-0000-0000-0000695A0000}"/>
    <cellStyle name="Output 2 8 5 2 4 4" xfId="10611" xr:uid="{00000000-0005-0000-0000-00006A5A0000}"/>
    <cellStyle name="Output 2 8 5 2 4 4 2" xfId="25443" xr:uid="{00000000-0005-0000-0000-00006B5A0000}"/>
    <cellStyle name="Output 2 8 5 2 5" xfId="6249" xr:uid="{00000000-0005-0000-0000-00006C5A0000}"/>
    <cellStyle name="Output 2 8 5 2 5 2" xfId="16434" xr:uid="{00000000-0005-0000-0000-00006D5A0000}"/>
    <cellStyle name="Output 2 8 5 2 5 2 2" xfId="31266" xr:uid="{00000000-0005-0000-0000-00006E5A0000}"/>
    <cellStyle name="Output 2 8 5 2 5 3" xfId="18552" xr:uid="{00000000-0005-0000-0000-00006F5A0000}"/>
    <cellStyle name="Output 2 8 5 2 6" xfId="12504" xr:uid="{00000000-0005-0000-0000-0000705A0000}"/>
    <cellStyle name="Output 2 8 5 2 6 2" xfId="27336" xr:uid="{00000000-0005-0000-0000-0000715A0000}"/>
    <cellStyle name="Output 2 8 5 2 7" xfId="10086" xr:uid="{00000000-0005-0000-0000-0000725A0000}"/>
    <cellStyle name="Output 2 8 5 2 7 2" xfId="24918" xr:uid="{00000000-0005-0000-0000-0000735A0000}"/>
    <cellStyle name="Output 2 8 5 3" xfId="3453" xr:uid="{00000000-0005-0000-0000-0000745A0000}"/>
    <cellStyle name="Output 2 8 5 3 2" xfId="7516" xr:uid="{00000000-0005-0000-0000-0000755A0000}"/>
    <cellStyle name="Output 2 8 5 3 2 2" xfId="17197" xr:uid="{00000000-0005-0000-0000-0000765A0000}"/>
    <cellStyle name="Output 2 8 5 3 2 2 2" xfId="32029" xr:uid="{00000000-0005-0000-0000-0000775A0000}"/>
    <cellStyle name="Output 2 8 5 3 2 3" xfId="19040" xr:uid="{00000000-0005-0000-0000-0000785A0000}"/>
    <cellStyle name="Output 2 8 5 3 3" xfId="13790" xr:uid="{00000000-0005-0000-0000-0000795A0000}"/>
    <cellStyle name="Output 2 8 5 3 3 2" xfId="28622" xr:uid="{00000000-0005-0000-0000-00007A5A0000}"/>
    <cellStyle name="Output 2 8 5 3 4" xfId="10816" xr:uid="{00000000-0005-0000-0000-00007B5A0000}"/>
    <cellStyle name="Output 2 8 5 3 4 2" xfId="25648" xr:uid="{00000000-0005-0000-0000-00007C5A0000}"/>
    <cellStyle name="Output 2 8 5 4" xfId="4677" xr:uid="{00000000-0005-0000-0000-00007D5A0000}"/>
    <cellStyle name="Output 2 8 5 4 2" xfId="8716" xr:uid="{00000000-0005-0000-0000-00007E5A0000}"/>
    <cellStyle name="Output 2 8 5 4 2 2" xfId="17824" xr:uid="{00000000-0005-0000-0000-00007F5A0000}"/>
    <cellStyle name="Output 2 8 5 4 2 2 2" xfId="32656" xr:uid="{00000000-0005-0000-0000-0000805A0000}"/>
    <cellStyle name="Output 2 8 5 4 2 3" xfId="19457" xr:uid="{00000000-0005-0000-0000-0000815A0000}"/>
    <cellStyle name="Output 2 8 5 4 3" xfId="15002" xr:uid="{00000000-0005-0000-0000-0000825A0000}"/>
    <cellStyle name="Output 2 8 5 4 3 2" xfId="29834" xr:uid="{00000000-0005-0000-0000-0000835A0000}"/>
    <cellStyle name="Output 2 8 5 4 4" xfId="11428" xr:uid="{00000000-0005-0000-0000-0000845A0000}"/>
    <cellStyle name="Output 2 8 5 4 4 2" xfId="26260" xr:uid="{00000000-0005-0000-0000-0000855A0000}"/>
    <cellStyle name="Output 2 8 5 5" xfId="2667" xr:uid="{00000000-0005-0000-0000-0000865A0000}"/>
    <cellStyle name="Output 2 8 5 5 2" xfId="6763" xr:uid="{00000000-0005-0000-0000-0000875A0000}"/>
    <cellStyle name="Output 2 8 5 5 2 2" xfId="16719" xr:uid="{00000000-0005-0000-0000-0000885A0000}"/>
    <cellStyle name="Output 2 8 5 5 2 2 2" xfId="31551" xr:uid="{00000000-0005-0000-0000-0000895A0000}"/>
    <cellStyle name="Output 2 8 5 5 2 3" xfId="18747" xr:uid="{00000000-0005-0000-0000-00008A5A0000}"/>
    <cellStyle name="Output 2 8 5 5 3" xfId="13005" xr:uid="{00000000-0005-0000-0000-00008B5A0000}"/>
    <cellStyle name="Output 2 8 5 5 3 2" xfId="27837" xr:uid="{00000000-0005-0000-0000-00008C5A0000}"/>
    <cellStyle name="Output 2 8 5 5 4" xfId="10371" xr:uid="{00000000-0005-0000-0000-00008D5A0000}"/>
    <cellStyle name="Output 2 8 5 5 4 2" xfId="25203" xr:uid="{00000000-0005-0000-0000-00008E5A0000}"/>
    <cellStyle name="Output 2 8 5 6" xfId="5779" xr:uid="{00000000-0005-0000-0000-00008F5A0000}"/>
    <cellStyle name="Output 2 8 5 6 2" xfId="16013" xr:uid="{00000000-0005-0000-0000-0000905A0000}"/>
    <cellStyle name="Output 2 8 5 6 2 2" xfId="30845" xr:uid="{00000000-0005-0000-0000-0000915A0000}"/>
    <cellStyle name="Output 2 8 5 6 3" xfId="18388" xr:uid="{00000000-0005-0000-0000-0000925A0000}"/>
    <cellStyle name="Output 2 8 5 7" xfId="12033" xr:uid="{00000000-0005-0000-0000-0000935A0000}"/>
    <cellStyle name="Output 2 8 5 7 2" xfId="26865" xr:uid="{00000000-0005-0000-0000-0000945A0000}"/>
    <cellStyle name="Output 2 8 5 8" xfId="9693" xr:uid="{00000000-0005-0000-0000-0000955A0000}"/>
    <cellStyle name="Output 2 8 5 8 2" xfId="19993" xr:uid="{00000000-0005-0000-0000-0000965A0000}"/>
    <cellStyle name="Output 2 8 6" xfId="1783" xr:uid="{00000000-0005-0000-0000-0000975A0000}"/>
    <cellStyle name="Output 2 8 6 2" xfId="4028" xr:uid="{00000000-0005-0000-0000-0000985A0000}"/>
    <cellStyle name="Output 2 8 6 2 2" xfId="8075" xr:uid="{00000000-0005-0000-0000-0000995A0000}"/>
    <cellStyle name="Output 2 8 6 2 2 2" xfId="17485" xr:uid="{00000000-0005-0000-0000-00009A5A0000}"/>
    <cellStyle name="Output 2 8 6 2 2 2 2" xfId="32317" xr:uid="{00000000-0005-0000-0000-00009B5A0000}"/>
    <cellStyle name="Output 2 8 6 2 2 3" xfId="19241" xr:uid="{00000000-0005-0000-0000-00009C5A0000}"/>
    <cellStyle name="Output 2 8 6 2 3" xfId="14360" xr:uid="{00000000-0005-0000-0000-00009D5A0000}"/>
    <cellStyle name="Output 2 8 6 2 3 2" xfId="29192" xr:uid="{00000000-0005-0000-0000-00009E5A0000}"/>
    <cellStyle name="Output 2 8 6 2 4" xfId="11101" xr:uid="{00000000-0005-0000-0000-00009F5A0000}"/>
    <cellStyle name="Output 2 8 6 2 4 2" xfId="25933" xr:uid="{00000000-0005-0000-0000-0000A05A0000}"/>
    <cellStyle name="Output 2 8 6 3" xfId="4761" xr:uid="{00000000-0005-0000-0000-0000A15A0000}"/>
    <cellStyle name="Output 2 8 6 3 2" xfId="8800" xr:uid="{00000000-0005-0000-0000-0000A25A0000}"/>
    <cellStyle name="Output 2 8 6 3 2 2" xfId="17872" xr:uid="{00000000-0005-0000-0000-0000A35A0000}"/>
    <cellStyle name="Output 2 8 6 3 2 2 2" xfId="32704" xr:uid="{00000000-0005-0000-0000-0000A45A0000}"/>
    <cellStyle name="Output 2 8 6 3 2 3" xfId="19489" xr:uid="{00000000-0005-0000-0000-0000A55A0000}"/>
    <cellStyle name="Output 2 8 6 3 3" xfId="15085" xr:uid="{00000000-0005-0000-0000-0000A65A0000}"/>
    <cellStyle name="Output 2 8 6 3 3 2" xfId="29917" xr:uid="{00000000-0005-0000-0000-0000A75A0000}"/>
    <cellStyle name="Output 2 8 6 3 4" xfId="11475" xr:uid="{00000000-0005-0000-0000-0000A85A0000}"/>
    <cellStyle name="Output 2 8 6 3 4 2" xfId="26307" xr:uid="{00000000-0005-0000-0000-0000A95A0000}"/>
    <cellStyle name="Output 2 8 6 4" xfId="2751" xr:uid="{00000000-0005-0000-0000-0000AA5A0000}"/>
    <cellStyle name="Output 2 8 6 4 2" xfId="6842" xr:uid="{00000000-0005-0000-0000-0000AB5A0000}"/>
    <cellStyle name="Output 2 8 6 4 2 2" xfId="16766" xr:uid="{00000000-0005-0000-0000-0000AC5A0000}"/>
    <cellStyle name="Output 2 8 6 4 2 2 2" xfId="31598" xr:uid="{00000000-0005-0000-0000-0000AD5A0000}"/>
    <cellStyle name="Output 2 8 6 4 2 3" xfId="18780" xr:uid="{00000000-0005-0000-0000-0000AE5A0000}"/>
    <cellStyle name="Output 2 8 6 4 3" xfId="13089" xr:uid="{00000000-0005-0000-0000-0000AF5A0000}"/>
    <cellStyle name="Output 2 8 6 4 3 2" xfId="27921" xr:uid="{00000000-0005-0000-0000-0000B05A0000}"/>
    <cellStyle name="Output 2 8 6 4 4" xfId="10419" xr:uid="{00000000-0005-0000-0000-0000B15A0000}"/>
    <cellStyle name="Output 2 8 6 4 4 2" xfId="25251" xr:uid="{00000000-0005-0000-0000-0000B25A0000}"/>
    <cellStyle name="Output 2 8 6 5" xfId="5915" xr:uid="{00000000-0005-0000-0000-0000B35A0000}"/>
    <cellStyle name="Output 2 8 6 5 2" xfId="16107" xr:uid="{00000000-0005-0000-0000-0000B45A0000}"/>
    <cellStyle name="Output 2 8 6 5 2 2" xfId="30939" xr:uid="{00000000-0005-0000-0000-0000B55A0000}"/>
    <cellStyle name="Output 2 8 6 5 3" xfId="18422" xr:uid="{00000000-0005-0000-0000-0000B65A0000}"/>
    <cellStyle name="Output 2 8 6 6" xfId="12177" xr:uid="{00000000-0005-0000-0000-0000B75A0000}"/>
    <cellStyle name="Output 2 8 6 6 2" xfId="27009" xr:uid="{00000000-0005-0000-0000-0000B85A0000}"/>
    <cellStyle name="Output 2 8 6 7" xfId="9773" xr:uid="{00000000-0005-0000-0000-0000B95A0000}"/>
    <cellStyle name="Output 2 8 6 7 2" xfId="24730" xr:uid="{00000000-0005-0000-0000-0000BA5A0000}"/>
    <cellStyle name="Output 2 8 7" xfId="2183" xr:uid="{00000000-0005-0000-0000-0000BB5A0000}"/>
    <cellStyle name="Output 2 8 7 2" xfId="3540" xr:uid="{00000000-0005-0000-0000-0000BC5A0000}"/>
    <cellStyle name="Output 2 8 7 2 2" xfId="7602" xr:uid="{00000000-0005-0000-0000-0000BD5A0000}"/>
    <cellStyle name="Output 2 8 7 2 2 2" xfId="17246" xr:uid="{00000000-0005-0000-0000-0000BE5A0000}"/>
    <cellStyle name="Output 2 8 7 2 2 2 2" xfId="32078" xr:uid="{00000000-0005-0000-0000-0000BF5A0000}"/>
    <cellStyle name="Output 2 8 7 2 2 3" xfId="19072" xr:uid="{00000000-0005-0000-0000-0000C05A0000}"/>
    <cellStyle name="Output 2 8 7 2 3" xfId="13876" xr:uid="{00000000-0005-0000-0000-0000C15A0000}"/>
    <cellStyle name="Output 2 8 7 2 3 2" xfId="28708" xr:uid="{00000000-0005-0000-0000-0000C25A0000}"/>
    <cellStyle name="Output 2 8 7 2 4" xfId="10863" xr:uid="{00000000-0005-0000-0000-0000C35A0000}"/>
    <cellStyle name="Output 2 8 7 2 4 2" xfId="25695" xr:uid="{00000000-0005-0000-0000-0000C45A0000}"/>
    <cellStyle name="Output 2 8 7 3" xfId="5151" xr:uid="{00000000-0005-0000-0000-0000C55A0000}"/>
    <cellStyle name="Output 2 8 7 3 2" xfId="9190" xr:uid="{00000000-0005-0000-0000-0000C65A0000}"/>
    <cellStyle name="Output 2 8 7 3 2 2" xfId="18113" xr:uid="{00000000-0005-0000-0000-0000C75A0000}"/>
    <cellStyle name="Output 2 8 7 3 2 2 2" xfId="32945" xr:uid="{00000000-0005-0000-0000-0000C85A0000}"/>
    <cellStyle name="Output 2 8 7 3 2 3" xfId="19664" xr:uid="{00000000-0005-0000-0000-0000C95A0000}"/>
    <cellStyle name="Output 2 8 7 3 3" xfId="15469" xr:uid="{00000000-0005-0000-0000-0000CA5A0000}"/>
    <cellStyle name="Output 2 8 7 3 3 2" xfId="30301" xr:uid="{00000000-0005-0000-0000-0000CB5A0000}"/>
    <cellStyle name="Output 2 8 7 3 4" xfId="11710" xr:uid="{00000000-0005-0000-0000-0000CC5A0000}"/>
    <cellStyle name="Output 2 8 7 3 4 2" xfId="26542" xr:uid="{00000000-0005-0000-0000-0000CD5A0000}"/>
    <cellStyle name="Output 2 8 7 4" xfId="4181" xr:uid="{00000000-0005-0000-0000-0000CE5A0000}"/>
    <cellStyle name="Output 2 8 7 4 2" xfId="8222" xr:uid="{00000000-0005-0000-0000-0000CF5A0000}"/>
    <cellStyle name="Output 2 8 7 4 2 2" xfId="17569" xr:uid="{00000000-0005-0000-0000-0000D05A0000}"/>
    <cellStyle name="Output 2 8 7 4 2 2 2" xfId="32401" xr:uid="{00000000-0005-0000-0000-0000D15A0000}"/>
    <cellStyle name="Output 2 8 7 4 2 3" xfId="19307" xr:uid="{00000000-0005-0000-0000-0000D25A0000}"/>
    <cellStyle name="Output 2 8 7 4 3" xfId="14513" xr:uid="{00000000-0005-0000-0000-0000D35A0000}"/>
    <cellStyle name="Output 2 8 7 4 3 2" xfId="29345" xr:uid="{00000000-0005-0000-0000-0000D45A0000}"/>
    <cellStyle name="Output 2 8 7 4 4" xfId="11189" xr:uid="{00000000-0005-0000-0000-0000D55A0000}"/>
    <cellStyle name="Output 2 8 7 4 4 2" xfId="26021" xr:uid="{00000000-0005-0000-0000-0000D65A0000}"/>
    <cellStyle name="Output 2 8 7 5" xfId="6297" xr:uid="{00000000-0005-0000-0000-0000D75A0000}"/>
    <cellStyle name="Output 2 8 7 5 2" xfId="16481" xr:uid="{00000000-0005-0000-0000-0000D85A0000}"/>
    <cellStyle name="Output 2 8 7 5 2 2" xfId="31313" xr:uid="{00000000-0005-0000-0000-0000D95A0000}"/>
    <cellStyle name="Output 2 8 7 5 3" xfId="18600" xr:uid="{00000000-0005-0000-0000-0000DA5A0000}"/>
    <cellStyle name="Output 2 8 7 6" xfId="12551" xr:uid="{00000000-0005-0000-0000-0000DB5A0000}"/>
    <cellStyle name="Output 2 8 7 6 2" xfId="27383" xr:uid="{00000000-0005-0000-0000-0000DC5A0000}"/>
    <cellStyle name="Output 2 8 7 7" xfId="10133" xr:uid="{00000000-0005-0000-0000-0000DD5A0000}"/>
    <cellStyle name="Output 2 8 7 7 2" xfId="24965" xr:uid="{00000000-0005-0000-0000-0000DE5A0000}"/>
    <cellStyle name="Output 2 8 8" xfId="4295" xr:uid="{00000000-0005-0000-0000-0000DF5A0000}"/>
    <cellStyle name="Output 2 8 8 2" xfId="8334" xr:uid="{00000000-0005-0000-0000-0000E05A0000}"/>
    <cellStyle name="Output 2 8 8 2 2" xfId="17614" xr:uid="{00000000-0005-0000-0000-0000E15A0000}"/>
    <cellStyle name="Output 2 8 8 2 2 2" xfId="32446" xr:uid="{00000000-0005-0000-0000-0000E25A0000}"/>
    <cellStyle name="Output 2 8 8 2 3" xfId="19323" xr:uid="{00000000-0005-0000-0000-0000E35A0000}"/>
    <cellStyle name="Output 2 8 8 3" xfId="14626" xr:uid="{00000000-0005-0000-0000-0000E45A0000}"/>
    <cellStyle name="Output 2 8 8 3 2" xfId="29458" xr:uid="{00000000-0005-0000-0000-0000E55A0000}"/>
    <cellStyle name="Output 2 8 8 4" xfId="11227" xr:uid="{00000000-0005-0000-0000-0000E65A0000}"/>
    <cellStyle name="Output 2 8 8 4 2" xfId="26059" xr:uid="{00000000-0005-0000-0000-0000E75A0000}"/>
    <cellStyle name="Output 2 8 9" xfId="3243" xr:uid="{00000000-0005-0000-0000-0000E85A0000}"/>
    <cellStyle name="Output 2 8 9 2" xfId="7307" xr:uid="{00000000-0005-0000-0000-0000E95A0000}"/>
    <cellStyle name="Output 2 8 9 2 2" xfId="17063" xr:uid="{00000000-0005-0000-0000-0000EA5A0000}"/>
    <cellStyle name="Output 2 8 9 2 2 2" xfId="31895" xr:uid="{00000000-0005-0000-0000-0000EB5A0000}"/>
    <cellStyle name="Output 2 8 9 2 3" xfId="18971" xr:uid="{00000000-0005-0000-0000-0000EC5A0000}"/>
    <cellStyle name="Output 2 8 9 3" xfId="13580" xr:uid="{00000000-0005-0000-0000-0000ED5A0000}"/>
    <cellStyle name="Output 2 8 9 3 2" xfId="28412" xr:uid="{00000000-0005-0000-0000-0000EE5A0000}"/>
    <cellStyle name="Output 2 8 9 4" xfId="10697" xr:uid="{00000000-0005-0000-0000-0000EF5A0000}"/>
    <cellStyle name="Output 2 8 9 4 2" xfId="25529" xr:uid="{00000000-0005-0000-0000-0000F05A0000}"/>
    <cellStyle name="Output 2 9" xfId="1350" xr:uid="{00000000-0005-0000-0000-0000F15A0000}"/>
    <cellStyle name="Output 2 9 2" xfId="1854" xr:uid="{00000000-0005-0000-0000-0000F25A0000}"/>
    <cellStyle name="Output 2 9 2 2" xfId="3605" xr:uid="{00000000-0005-0000-0000-0000F35A0000}"/>
    <cellStyle name="Output 2 9 2 2 2" xfId="7666" xr:uid="{00000000-0005-0000-0000-0000F45A0000}"/>
    <cellStyle name="Output 2 9 2 2 2 2" xfId="17281" xr:uid="{00000000-0005-0000-0000-0000F55A0000}"/>
    <cellStyle name="Output 2 9 2 2 2 2 2" xfId="32113" xr:uid="{00000000-0005-0000-0000-0000F65A0000}"/>
    <cellStyle name="Output 2 9 2 2 2 3" xfId="19100" xr:uid="{00000000-0005-0000-0000-0000F75A0000}"/>
    <cellStyle name="Output 2 9 2 2 3" xfId="13941" xr:uid="{00000000-0005-0000-0000-0000F85A0000}"/>
    <cellStyle name="Output 2 9 2 2 3 2" xfId="28773" xr:uid="{00000000-0005-0000-0000-0000F95A0000}"/>
    <cellStyle name="Output 2 9 2 2 4" xfId="10898" xr:uid="{00000000-0005-0000-0000-0000FA5A0000}"/>
    <cellStyle name="Output 2 9 2 2 4 2" xfId="25730" xr:uid="{00000000-0005-0000-0000-0000FB5A0000}"/>
    <cellStyle name="Output 2 9 2 3" xfId="4832" xr:uid="{00000000-0005-0000-0000-0000FC5A0000}"/>
    <cellStyle name="Output 2 9 2 3 2" xfId="8871" xr:uid="{00000000-0005-0000-0000-0000FD5A0000}"/>
    <cellStyle name="Output 2 9 2 3 2 2" xfId="17912" xr:uid="{00000000-0005-0000-0000-0000FE5A0000}"/>
    <cellStyle name="Output 2 9 2 3 2 2 2" xfId="32744" xr:uid="{00000000-0005-0000-0000-0000FF5A0000}"/>
    <cellStyle name="Output 2 9 2 3 2 3" xfId="19514" xr:uid="{00000000-0005-0000-0000-0000005B0000}"/>
    <cellStyle name="Output 2 9 2 3 3" xfId="15156" xr:uid="{00000000-0005-0000-0000-0000015B0000}"/>
    <cellStyle name="Output 2 9 2 3 3 2" xfId="29988" xr:uid="{00000000-0005-0000-0000-0000025B0000}"/>
    <cellStyle name="Output 2 9 2 3 4" xfId="11515" xr:uid="{00000000-0005-0000-0000-0000035B0000}"/>
    <cellStyle name="Output 2 9 2 3 4 2" xfId="26347" xr:uid="{00000000-0005-0000-0000-0000045B0000}"/>
    <cellStyle name="Output 2 9 2 4" xfId="2822" xr:uid="{00000000-0005-0000-0000-0000055B0000}"/>
    <cellStyle name="Output 2 9 2 4 2" xfId="6913" xr:uid="{00000000-0005-0000-0000-0000065B0000}"/>
    <cellStyle name="Output 2 9 2 4 2 2" xfId="16806" xr:uid="{00000000-0005-0000-0000-0000075B0000}"/>
    <cellStyle name="Output 2 9 2 4 2 2 2" xfId="31638" xr:uid="{00000000-0005-0000-0000-0000085B0000}"/>
    <cellStyle name="Output 2 9 2 4 2 3" xfId="18805" xr:uid="{00000000-0005-0000-0000-0000095B0000}"/>
    <cellStyle name="Output 2 9 2 4 3" xfId="13160" xr:uid="{00000000-0005-0000-0000-00000A5B0000}"/>
    <cellStyle name="Output 2 9 2 4 3 2" xfId="27992" xr:uid="{00000000-0005-0000-0000-00000B5B0000}"/>
    <cellStyle name="Output 2 9 2 4 4" xfId="10459" xr:uid="{00000000-0005-0000-0000-00000C5B0000}"/>
    <cellStyle name="Output 2 9 2 4 4 2" xfId="25291" xr:uid="{00000000-0005-0000-0000-00000D5B0000}"/>
    <cellStyle name="Output 2 9 2 5" xfId="5986" xr:uid="{00000000-0005-0000-0000-00000E5B0000}"/>
    <cellStyle name="Output 2 9 2 5 2" xfId="16178" xr:uid="{00000000-0005-0000-0000-00000F5B0000}"/>
    <cellStyle name="Output 2 9 2 5 2 2" xfId="31010" xr:uid="{00000000-0005-0000-0000-0000105B0000}"/>
    <cellStyle name="Output 2 9 2 5 3" xfId="18447" xr:uid="{00000000-0005-0000-0000-0000115B0000}"/>
    <cellStyle name="Output 2 9 2 6" xfId="12248" xr:uid="{00000000-0005-0000-0000-0000125B0000}"/>
    <cellStyle name="Output 2 9 2 6 2" xfId="27080" xr:uid="{00000000-0005-0000-0000-0000135B0000}"/>
    <cellStyle name="Output 2 9 2 7" xfId="9844" xr:uid="{00000000-0005-0000-0000-0000145B0000}"/>
    <cellStyle name="Output 2 9 2 7 2" xfId="24770" xr:uid="{00000000-0005-0000-0000-0000155B0000}"/>
    <cellStyle name="Output 2 9 3" xfId="3831" xr:uid="{00000000-0005-0000-0000-0000165B0000}"/>
    <cellStyle name="Output 2 9 3 2" xfId="7884" xr:uid="{00000000-0005-0000-0000-0000175B0000}"/>
    <cellStyle name="Output 2 9 3 2 2" xfId="17385" xr:uid="{00000000-0005-0000-0000-0000185B0000}"/>
    <cellStyle name="Output 2 9 3 2 2 2" xfId="32217" xr:uid="{00000000-0005-0000-0000-0000195B0000}"/>
    <cellStyle name="Output 2 9 3 2 3" xfId="19169" xr:uid="{00000000-0005-0000-0000-00001A5B0000}"/>
    <cellStyle name="Output 2 9 3 3" xfId="14166" xr:uid="{00000000-0005-0000-0000-00001B5B0000}"/>
    <cellStyle name="Output 2 9 3 3 2" xfId="28998" xr:uid="{00000000-0005-0000-0000-00001C5B0000}"/>
    <cellStyle name="Output 2 9 3 4" xfId="11004" xr:uid="{00000000-0005-0000-0000-00001D5B0000}"/>
    <cellStyle name="Output 2 9 3 4 2" xfId="25836" xr:uid="{00000000-0005-0000-0000-00001E5B0000}"/>
    <cellStyle name="Output 2 9 4" xfId="4412" xr:uid="{00000000-0005-0000-0000-00001F5B0000}"/>
    <cellStyle name="Output 2 9 4 2" xfId="8451" xr:uid="{00000000-0005-0000-0000-0000205B0000}"/>
    <cellStyle name="Output 2 9 4 2 2" xfId="17672" xr:uid="{00000000-0005-0000-0000-0000215B0000}"/>
    <cellStyle name="Output 2 9 4 2 2 2" xfId="32504" xr:uid="{00000000-0005-0000-0000-0000225B0000}"/>
    <cellStyle name="Output 2 9 4 2 3" xfId="19354" xr:uid="{00000000-0005-0000-0000-0000235B0000}"/>
    <cellStyle name="Output 2 9 4 3" xfId="14741" xr:uid="{00000000-0005-0000-0000-0000245B0000}"/>
    <cellStyle name="Output 2 9 4 3 2" xfId="29573" xr:uid="{00000000-0005-0000-0000-0000255B0000}"/>
    <cellStyle name="Output 2 9 4 4" xfId="11280" xr:uid="{00000000-0005-0000-0000-0000265B0000}"/>
    <cellStyle name="Output 2 9 4 4 2" xfId="26112" xr:uid="{00000000-0005-0000-0000-0000275B0000}"/>
    <cellStyle name="Output 2 9 5" xfId="2402" xr:uid="{00000000-0005-0000-0000-0000285B0000}"/>
    <cellStyle name="Output 2 9 5 2" xfId="6514" xr:uid="{00000000-0005-0000-0000-0000295B0000}"/>
    <cellStyle name="Output 2 9 5 2 2" xfId="16570" xr:uid="{00000000-0005-0000-0000-00002A5B0000}"/>
    <cellStyle name="Output 2 9 5 2 2 2" xfId="31402" xr:uid="{00000000-0005-0000-0000-00002B5B0000}"/>
    <cellStyle name="Output 2 9 5 2 3" xfId="18642" xr:uid="{00000000-0005-0000-0000-00002C5B0000}"/>
    <cellStyle name="Output 2 9 5 3" xfId="12741" xr:uid="{00000000-0005-0000-0000-00002D5B0000}"/>
    <cellStyle name="Output 2 9 5 3 2" xfId="27573" xr:uid="{00000000-0005-0000-0000-00002E5B0000}"/>
    <cellStyle name="Output 2 9 5 4" xfId="10220" xr:uid="{00000000-0005-0000-0000-00002F5B0000}"/>
    <cellStyle name="Output 2 9 5 4 2" xfId="25052" xr:uid="{00000000-0005-0000-0000-0000305B0000}"/>
    <cellStyle name="Output 2 9 6" xfId="5527" xr:uid="{00000000-0005-0000-0000-0000315B0000}"/>
    <cellStyle name="Output 2 9 6 2" xfId="15762" xr:uid="{00000000-0005-0000-0000-0000325B0000}"/>
    <cellStyle name="Output 2 9 6 2 2" xfId="30594" xr:uid="{00000000-0005-0000-0000-0000335B0000}"/>
    <cellStyle name="Output 2 9 6 3" xfId="18284" xr:uid="{00000000-0005-0000-0000-0000345B0000}"/>
    <cellStyle name="Output 2 9 7" xfId="11777" xr:uid="{00000000-0005-0000-0000-0000355B0000}"/>
    <cellStyle name="Output 2 9 7 2" xfId="26609" xr:uid="{00000000-0005-0000-0000-0000365B0000}"/>
    <cellStyle name="Output 2 9 8" xfId="9448" xr:uid="{00000000-0005-0000-0000-0000375B0000}"/>
    <cellStyle name="Output 2 9 8 2" xfId="19752" xr:uid="{00000000-0005-0000-0000-0000385B0000}"/>
    <cellStyle name="Output 3" xfId="1239" xr:uid="{00000000-0005-0000-0000-0000395B0000}"/>
    <cellStyle name="Output 3 10" xfId="2325" xr:uid="{00000000-0005-0000-0000-00003A5B0000}"/>
    <cellStyle name="Output 3 10 2" xfId="6437" xr:uid="{00000000-0005-0000-0000-00003B5B0000}"/>
    <cellStyle name="Output 3 10 2 2" xfId="16530" xr:uid="{00000000-0005-0000-0000-00003C5B0000}"/>
    <cellStyle name="Output 3 10 2 2 2" xfId="31362" xr:uid="{00000000-0005-0000-0000-00003D5B0000}"/>
    <cellStyle name="Output 3 10 2 3" xfId="18618" xr:uid="{00000000-0005-0000-0000-00003E5B0000}"/>
    <cellStyle name="Output 3 10 3" xfId="12665" xr:uid="{00000000-0005-0000-0000-00003F5B0000}"/>
    <cellStyle name="Output 3 10 3 2" xfId="27497" xr:uid="{00000000-0005-0000-0000-0000405B0000}"/>
    <cellStyle name="Output 3 10 4" xfId="10181" xr:uid="{00000000-0005-0000-0000-0000415B0000}"/>
    <cellStyle name="Output 3 10 4 2" xfId="25013" xr:uid="{00000000-0005-0000-0000-0000425B0000}"/>
    <cellStyle name="Output 3 11" xfId="5288" xr:uid="{00000000-0005-0000-0000-0000435B0000}"/>
    <cellStyle name="Output 3 11 2" xfId="9296" xr:uid="{00000000-0005-0000-0000-0000445B0000}"/>
    <cellStyle name="Output 3 11 2 2" xfId="18163" xr:uid="{00000000-0005-0000-0000-0000455B0000}"/>
    <cellStyle name="Output 3 11 2 2 2" xfId="32995" xr:uid="{00000000-0005-0000-0000-0000465B0000}"/>
    <cellStyle name="Output 3 11 2 3" xfId="19682" xr:uid="{00000000-0005-0000-0000-0000475B0000}"/>
    <cellStyle name="Output 3 11 3" xfId="15604" xr:uid="{00000000-0005-0000-0000-0000485B0000}"/>
    <cellStyle name="Output 3 11 3 2" xfId="30436" xr:uid="{00000000-0005-0000-0000-0000495B0000}"/>
    <cellStyle name="Output 3 12" xfId="5446" xr:uid="{00000000-0005-0000-0000-00004A5B0000}"/>
    <cellStyle name="Output 3 12 2" xfId="15682" xr:uid="{00000000-0005-0000-0000-00004B5B0000}"/>
    <cellStyle name="Output 3 12 2 2" xfId="30514" xr:uid="{00000000-0005-0000-0000-00004C5B0000}"/>
    <cellStyle name="Output 3 12 3" xfId="18259" xr:uid="{00000000-0005-0000-0000-00004D5B0000}"/>
    <cellStyle name="Output 3 13" xfId="9345" xr:uid="{00000000-0005-0000-0000-00004E5B0000}"/>
    <cellStyle name="Output 3 13 2" xfId="24651" xr:uid="{00000000-0005-0000-0000-00004F5B0000}"/>
    <cellStyle name="Output 3 14" xfId="5334" xr:uid="{00000000-0005-0000-0000-0000505B0000}"/>
    <cellStyle name="Output 3 14 2" xfId="18208" xr:uid="{00000000-0005-0000-0000-0000515B0000}"/>
    <cellStyle name="Output 3 2" xfId="1358" xr:uid="{00000000-0005-0000-0000-0000525B0000}"/>
    <cellStyle name="Output 3 2 2" xfId="1862" xr:uid="{00000000-0005-0000-0000-0000535B0000}"/>
    <cellStyle name="Output 3 2 2 2" xfId="3821" xr:uid="{00000000-0005-0000-0000-0000545B0000}"/>
    <cellStyle name="Output 3 2 2 2 2" xfId="7874" xr:uid="{00000000-0005-0000-0000-0000555B0000}"/>
    <cellStyle name="Output 3 2 2 2 2 2" xfId="17380" xr:uid="{00000000-0005-0000-0000-0000565B0000}"/>
    <cellStyle name="Output 3 2 2 2 2 2 2" xfId="32212" xr:uid="{00000000-0005-0000-0000-0000575B0000}"/>
    <cellStyle name="Output 3 2 2 2 2 3" xfId="19164" xr:uid="{00000000-0005-0000-0000-0000585B0000}"/>
    <cellStyle name="Output 3 2 2 2 3" xfId="14156" xr:uid="{00000000-0005-0000-0000-0000595B0000}"/>
    <cellStyle name="Output 3 2 2 2 3 2" xfId="28988" xr:uid="{00000000-0005-0000-0000-00005A5B0000}"/>
    <cellStyle name="Output 3 2 2 2 4" xfId="10999" xr:uid="{00000000-0005-0000-0000-00005B5B0000}"/>
    <cellStyle name="Output 3 2 2 2 4 2" xfId="25831" xr:uid="{00000000-0005-0000-0000-00005C5B0000}"/>
    <cellStyle name="Output 3 2 2 3" xfId="4840" xr:uid="{00000000-0005-0000-0000-00005D5B0000}"/>
    <cellStyle name="Output 3 2 2 3 2" xfId="8879" xr:uid="{00000000-0005-0000-0000-00005E5B0000}"/>
    <cellStyle name="Output 3 2 2 3 2 2" xfId="17920" xr:uid="{00000000-0005-0000-0000-00005F5B0000}"/>
    <cellStyle name="Output 3 2 2 3 2 2 2" xfId="32752" xr:uid="{00000000-0005-0000-0000-0000605B0000}"/>
    <cellStyle name="Output 3 2 2 3 2 3" xfId="19522" xr:uid="{00000000-0005-0000-0000-0000615B0000}"/>
    <cellStyle name="Output 3 2 2 3 3" xfId="15164" xr:uid="{00000000-0005-0000-0000-0000625B0000}"/>
    <cellStyle name="Output 3 2 2 3 3 2" xfId="29996" xr:uid="{00000000-0005-0000-0000-0000635B0000}"/>
    <cellStyle name="Output 3 2 2 3 4" xfId="11523" xr:uid="{00000000-0005-0000-0000-0000645B0000}"/>
    <cellStyle name="Output 3 2 2 3 4 2" xfId="26355" xr:uid="{00000000-0005-0000-0000-0000655B0000}"/>
    <cellStyle name="Output 3 2 2 4" xfId="2830" xr:uid="{00000000-0005-0000-0000-0000665B0000}"/>
    <cellStyle name="Output 3 2 2 4 2" xfId="6921" xr:uid="{00000000-0005-0000-0000-0000675B0000}"/>
    <cellStyle name="Output 3 2 2 4 2 2" xfId="16814" xr:uid="{00000000-0005-0000-0000-0000685B0000}"/>
    <cellStyle name="Output 3 2 2 4 2 2 2" xfId="31646" xr:uid="{00000000-0005-0000-0000-0000695B0000}"/>
    <cellStyle name="Output 3 2 2 4 2 3" xfId="18813" xr:uid="{00000000-0005-0000-0000-00006A5B0000}"/>
    <cellStyle name="Output 3 2 2 4 3" xfId="13168" xr:uid="{00000000-0005-0000-0000-00006B5B0000}"/>
    <cellStyle name="Output 3 2 2 4 3 2" xfId="28000" xr:uid="{00000000-0005-0000-0000-00006C5B0000}"/>
    <cellStyle name="Output 3 2 2 4 4" xfId="10467" xr:uid="{00000000-0005-0000-0000-00006D5B0000}"/>
    <cellStyle name="Output 3 2 2 4 4 2" xfId="25299" xr:uid="{00000000-0005-0000-0000-00006E5B0000}"/>
    <cellStyle name="Output 3 2 2 5" xfId="5994" xr:uid="{00000000-0005-0000-0000-00006F5B0000}"/>
    <cellStyle name="Output 3 2 2 5 2" xfId="16186" xr:uid="{00000000-0005-0000-0000-0000705B0000}"/>
    <cellStyle name="Output 3 2 2 5 2 2" xfId="31018" xr:uid="{00000000-0005-0000-0000-0000715B0000}"/>
    <cellStyle name="Output 3 2 2 5 3" xfId="18455" xr:uid="{00000000-0005-0000-0000-0000725B0000}"/>
    <cellStyle name="Output 3 2 2 6" xfId="12256" xr:uid="{00000000-0005-0000-0000-0000735B0000}"/>
    <cellStyle name="Output 3 2 2 6 2" xfId="27088" xr:uid="{00000000-0005-0000-0000-0000745B0000}"/>
    <cellStyle name="Output 3 2 2 7" xfId="9852" xr:uid="{00000000-0005-0000-0000-0000755B0000}"/>
    <cellStyle name="Output 3 2 2 7 2" xfId="24778" xr:uid="{00000000-0005-0000-0000-0000765B0000}"/>
    <cellStyle name="Output 3 2 3" xfId="3462" xr:uid="{00000000-0005-0000-0000-0000775B0000}"/>
    <cellStyle name="Output 3 2 3 2" xfId="7525" xr:uid="{00000000-0005-0000-0000-0000785B0000}"/>
    <cellStyle name="Output 3 2 3 2 2" xfId="17201" xr:uid="{00000000-0005-0000-0000-0000795B0000}"/>
    <cellStyle name="Output 3 2 3 2 2 2" xfId="32033" xr:uid="{00000000-0005-0000-0000-00007A5B0000}"/>
    <cellStyle name="Output 3 2 3 2 3" xfId="19043" xr:uid="{00000000-0005-0000-0000-00007B5B0000}"/>
    <cellStyle name="Output 3 2 3 3" xfId="13799" xr:uid="{00000000-0005-0000-0000-00007C5B0000}"/>
    <cellStyle name="Output 3 2 3 3 2" xfId="28631" xr:uid="{00000000-0005-0000-0000-00007D5B0000}"/>
    <cellStyle name="Output 3 2 3 4" xfId="10820" xr:uid="{00000000-0005-0000-0000-00007E5B0000}"/>
    <cellStyle name="Output 3 2 3 4 2" xfId="25652" xr:uid="{00000000-0005-0000-0000-00007F5B0000}"/>
    <cellStyle name="Output 3 2 4" xfId="4420" xr:uid="{00000000-0005-0000-0000-0000805B0000}"/>
    <cellStyle name="Output 3 2 4 2" xfId="8459" xr:uid="{00000000-0005-0000-0000-0000815B0000}"/>
    <cellStyle name="Output 3 2 4 2 2" xfId="17680" xr:uid="{00000000-0005-0000-0000-0000825B0000}"/>
    <cellStyle name="Output 3 2 4 2 2 2" xfId="32512" xr:uid="{00000000-0005-0000-0000-0000835B0000}"/>
    <cellStyle name="Output 3 2 4 2 3" xfId="19362" xr:uid="{00000000-0005-0000-0000-0000845B0000}"/>
    <cellStyle name="Output 3 2 4 3" xfId="14749" xr:uid="{00000000-0005-0000-0000-0000855B0000}"/>
    <cellStyle name="Output 3 2 4 3 2" xfId="29581" xr:uid="{00000000-0005-0000-0000-0000865B0000}"/>
    <cellStyle name="Output 3 2 4 4" xfId="11288" xr:uid="{00000000-0005-0000-0000-0000875B0000}"/>
    <cellStyle name="Output 3 2 4 4 2" xfId="26120" xr:uid="{00000000-0005-0000-0000-0000885B0000}"/>
    <cellStyle name="Output 3 2 5" xfId="2410" xr:uid="{00000000-0005-0000-0000-0000895B0000}"/>
    <cellStyle name="Output 3 2 5 2" xfId="6522" xr:uid="{00000000-0005-0000-0000-00008A5B0000}"/>
    <cellStyle name="Output 3 2 5 2 2" xfId="16578" xr:uid="{00000000-0005-0000-0000-00008B5B0000}"/>
    <cellStyle name="Output 3 2 5 2 2 2" xfId="31410" xr:uid="{00000000-0005-0000-0000-00008C5B0000}"/>
    <cellStyle name="Output 3 2 5 2 3" xfId="18650" xr:uid="{00000000-0005-0000-0000-00008D5B0000}"/>
    <cellStyle name="Output 3 2 5 3" xfId="12749" xr:uid="{00000000-0005-0000-0000-00008E5B0000}"/>
    <cellStyle name="Output 3 2 5 3 2" xfId="27581" xr:uid="{00000000-0005-0000-0000-00008F5B0000}"/>
    <cellStyle name="Output 3 2 5 4" xfId="10228" xr:uid="{00000000-0005-0000-0000-0000905B0000}"/>
    <cellStyle name="Output 3 2 5 4 2" xfId="25060" xr:uid="{00000000-0005-0000-0000-0000915B0000}"/>
    <cellStyle name="Output 3 2 6" xfId="5535" xr:uid="{00000000-0005-0000-0000-0000925B0000}"/>
    <cellStyle name="Output 3 2 6 2" xfId="15770" xr:uid="{00000000-0005-0000-0000-0000935B0000}"/>
    <cellStyle name="Output 3 2 6 2 2" xfId="30602" xr:uid="{00000000-0005-0000-0000-0000945B0000}"/>
    <cellStyle name="Output 3 2 6 3" xfId="18292" xr:uid="{00000000-0005-0000-0000-0000955B0000}"/>
    <cellStyle name="Output 3 2 7" xfId="11785" xr:uid="{00000000-0005-0000-0000-0000965B0000}"/>
    <cellStyle name="Output 3 2 7 2" xfId="26617" xr:uid="{00000000-0005-0000-0000-0000975B0000}"/>
    <cellStyle name="Output 3 2 8" xfId="9456" xr:uid="{00000000-0005-0000-0000-0000985B0000}"/>
    <cellStyle name="Output 3 2 8 2" xfId="19760" xr:uid="{00000000-0005-0000-0000-0000995B0000}"/>
    <cellStyle name="Output 3 3" xfId="1528" xr:uid="{00000000-0005-0000-0000-00009A5B0000}"/>
    <cellStyle name="Output 3 3 2" xfId="2025" xr:uid="{00000000-0005-0000-0000-00009B5B0000}"/>
    <cellStyle name="Output 3 3 2 2" xfId="3486" xr:uid="{00000000-0005-0000-0000-00009C5B0000}"/>
    <cellStyle name="Output 3 3 2 2 2" xfId="7548" xr:uid="{00000000-0005-0000-0000-00009D5B0000}"/>
    <cellStyle name="Output 3 3 2 2 2 2" xfId="17210" xr:uid="{00000000-0005-0000-0000-00009E5B0000}"/>
    <cellStyle name="Output 3 3 2 2 2 2 2" xfId="32042" xr:uid="{00000000-0005-0000-0000-00009F5B0000}"/>
    <cellStyle name="Output 3 3 2 2 2 3" xfId="19047" xr:uid="{00000000-0005-0000-0000-0000A05B0000}"/>
    <cellStyle name="Output 3 3 2 2 3" xfId="13823" xr:uid="{00000000-0005-0000-0000-0000A15B0000}"/>
    <cellStyle name="Output 3 3 2 2 3 2" xfId="28655" xr:uid="{00000000-0005-0000-0000-0000A25B0000}"/>
    <cellStyle name="Output 3 3 2 2 4" xfId="10828" xr:uid="{00000000-0005-0000-0000-0000A35B0000}"/>
    <cellStyle name="Output 3 3 2 2 4 2" xfId="25660" xr:uid="{00000000-0005-0000-0000-0000A45B0000}"/>
    <cellStyle name="Output 3 3 2 3" xfId="4993" xr:uid="{00000000-0005-0000-0000-0000A55B0000}"/>
    <cellStyle name="Output 3 3 2 3 2" xfId="9032" xr:uid="{00000000-0005-0000-0000-0000A65B0000}"/>
    <cellStyle name="Output 3 3 2 3 2 2" xfId="17970" xr:uid="{00000000-0005-0000-0000-0000A75B0000}"/>
    <cellStyle name="Output 3 3 2 3 2 2 2" xfId="32802" xr:uid="{00000000-0005-0000-0000-0000A85B0000}"/>
    <cellStyle name="Output 3 3 2 3 2 3" xfId="19554" xr:uid="{00000000-0005-0000-0000-0000A95B0000}"/>
    <cellStyle name="Output 3 3 2 3 3" xfId="15315" xr:uid="{00000000-0005-0000-0000-0000AA5B0000}"/>
    <cellStyle name="Output 3 3 2 3 3 2" xfId="30147" xr:uid="{00000000-0005-0000-0000-0000AB5B0000}"/>
    <cellStyle name="Output 3 3 2 3 4" xfId="11571" xr:uid="{00000000-0005-0000-0000-0000AC5B0000}"/>
    <cellStyle name="Output 3 3 2 3 4 2" xfId="26403" xr:uid="{00000000-0005-0000-0000-0000AD5B0000}"/>
    <cellStyle name="Output 3 3 2 4" xfId="2983" xr:uid="{00000000-0005-0000-0000-0000AE5B0000}"/>
    <cellStyle name="Output 3 3 2 4 2" xfId="7063" xr:uid="{00000000-0005-0000-0000-0000AF5B0000}"/>
    <cellStyle name="Output 3 3 2 4 2 2" xfId="16862" xr:uid="{00000000-0005-0000-0000-0000B05B0000}"/>
    <cellStyle name="Output 3 3 2 4 2 2 2" xfId="31694" xr:uid="{00000000-0005-0000-0000-0000B15B0000}"/>
    <cellStyle name="Output 3 3 2 4 2 3" xfId="18846" xr:uid="{00000000-0005-0000-0000-0000B25B0000}"/>
    <cellStyle name="Output 3 3 2 4 3" xfId="13321" xr:uid="{00000000-0005-0000-0000-0000B35B0000}"/>
    <cellStyle name="Output 3 3 2 4 3 2" xfId="28153" xr:uid="{00000000-0005-0000-0000-0000B45B0000}"/>
    <cellStyle name="Output 3 3 2 4 4" xfId="10517" xr:uid="{00000000-0005-0000-0000-0000B55B0000}"/>
    <cellStyle name="Output 3 3 2 4 4 2" xfId="25349" xr:uid="{00000000-0005-0000-0000-0000B65B0000}"/>
    <cellStyle name="Output 3 3 2 5" xfId="6155" xr:uid="{00000000-0005-0000-0000-0000B75B0000}"/>
    <cellStyle name="Output 3 3 2 5 2" xfId="16342" xr:uid="{00000000-0005-0000-0000-0000B85B0000}"/>
    <cellStyle name="Output 3 3 2 5 2 2" xfId="31174" xr:uid="{00000000-0005-0000-0000-0000B95B0000}"/>
    <cellStyle name="Output 3 3 2 5 3" xfId="18487" xr:uid="{00000000-0005-0000-0000-0000BA5B0000}"/>
    <cellStyle name="Output 3 3 2 6" xfId="12412" xr:uid="{00000000-0005-0000-0000-0000BB5B0000}"/>
    <cellStyle name="Output 3 3 2 6 2" xfId="27244" xr:uid="{00000000-0005-0000-0000-0000BC5B0000}"/>
    <cellStyle name="Output 3 3 2 7" xfId="9994" xr:uid="{00000000-0005-0000-0000-0000BD5B0000}"/>
    <cellStyle name="Output 3 3 2 7 2" xfId="24826" xr:uid="{00000000-0005-0000-0000-0000BE5B0000}"/>
    <cellStyle name="Output 3 3 3" xfId="3227" xr:uid="{00000000-0005-0000-0000-0000BF5B0000}"/>
    <cellStyle name="Output 3 3 3 2" xfId="7291" xr:uid="{00000000-0005-0000-0000-0000C05B0000}"/>
    <cellStyle name="Output 3 3 3 2 2" xfId="17051" xr:uid="{00000000-0005-0000-0000-0000C15B0000}"/>
    <cellStyle name="Output 3 3 3 2 2 2" xfId="31883" xr:uid="{00000000-0005-0000-0000-0000C25B0000}"/>
    <cellStyle name="Output 3 3 3 2 3" xfId="18968" xr:uid="{00000000-0005-0000-0000-0000C35B0000}"/>
    <cellStyle name="Output 3 3 3 3" xfId="13565" xr:uid="{00000000-0005-0000-0000-0000C45B0000}"/>
    <cellStyle name="Output 3 3 3 3 2" xfId="28397" xr:uid="{00000000-0005-0000-0000-0000C55B0000}"/>
    <cellStyle name="Output 3 3 3 4" xfId="10691" xr:uid="{00000000-0005-0000-0000-0000C65B0000}"/>
    <cellStyle name="Output 3 3 3 4 2" xfId="25523" xr:uid="{00000000-0005-0000-0000-0000C75B0000}"/>
    <cellStyle name="Output 3 3 4" xfId="4573" xr:uid="{00000000-0005-0000-0000-0000C85B0000}"/>
    <cellStyle name="Output 3 3 4 2" xfId="8612" xr:uid="{00000000-0005-0000-0000-0000C95B0000}"/>
    <cellStyle name="Output 3 3 4 2 2" xfId="17730" xr:uid="{00000000-0005-0000-0000-0000CA5B0000}"/>
    <cellStyle name="Output 3 3 4 2 2 2" xfId="32562" xr:uid="{00000000-0005-0000-0000-0000CB5B0000}"/>
    <cellStyle name="Output 3 3 4 2 3" xfId="19394" xr:uid="{00000000-0005-0000-0000-0000CC5B0000}"/>
    <cellStyle name="Output 3 3 4 3" xfId="14900" xr:uid="{00000000-0005-0000-0000-0000CD5B0000}"/>
    <cellStyle name="Output 3 3 4 3 2" xfId="29732" xr:uid="{00000000-0005-0000-0000-0000CE5B0000}"/>
    <cellStyle name="Output 3 3 4 4" xfId="11336" xr:uid="{00000000-0005-0000-0000-0000CF5B0000}"/>
    <cellStyle name="Output 3 3 4 4 2" xfId="26168" xr:uid="{00000000-0005-0000-0000-0000D05B0000}"/>
    <cellStyle name="Output 3 3 5" xfId="2563" xr:uid="{00000000-0005-0000-0000-0000D15B0000}"/>
    <cellStyle name="Output 3 3 5 2" xfId="6669" xr:uid="{00000000-0005-0000-0000-0000D25B0000}"/>
    <cellStyle name="Output 3 3 5 2 2" xfId="16627" xr:uid="{00000000-0005-0000-0000-0000D35B0000}"/>
    <cellStyle name="Output 3 3 5 2 2 2" xfId="31459" xr:uid="{00000000-0005-0000-0000-0000D45B0000}"/>
    <cellStyle name="Output 3 3 5 2 3" xfId="18682" xr:uid="{00000000-0005-0000-0000-0000D55B0000}"/>
    <cellStyle name="Output 3 3 5 3" xfId="12901" xr:uid="{00000000-0005-0000-0000-0000D65B0000}"/>
    <cellStyle name="Output 3 3 5 3 2" xfId="27733" xr:uid="{00000000-0005-0000-0000-0000D75B0000}"/>
    <cellStyle name="Output 3 3 5 4" xfId="10277" xr:uid="{00000000-0005-0000-0000-0000D85B0000}"/>
    <cellStyle name="Output 3 3 5 4 2" xfId="25109" xr:uid="{00000000-0005-0000-0000-0000D95B0000}"/>
    <cellStyle name="Output 3 3 6" xfId="5686" xr:uid="{00000000-0005-0000-0000-0000DA5B0000}"/>
    <cellStyle name="Output 3 3 6 2" xfId="15921" xr:uid="{00000000-0005-0000-0000-0000DB5B0000}"/>
    <cellStyle name="Output 3 3 6 2 2" xfId="30753" xr:uid="{00000000-0005-0000-0000-0000DC5B0000}"/>
    <cellStyle name="Output 3 3 6 3" xfId="18324" xr:uid="{00000000-0005-0000-0000-0000DD5B0000}"/>
    <cellStyle name="Output 3 3 7" xfId="11941" xr:uid="{00000000-0005-0000-0000-0000DE5B0000}"/>
    <cellStyle name="Output 3 3 7 2" xfId="26773" xr:uid="{00000000-0005-0000-0000-0000DF5B0000}"/>
    <cellStyle name="Output 3 3 8" xfId="9599" xr:uid="{00000000-0005-0000-0000-0000E05B0000}"/>
    <cellStyle name="Output 3 3 8 2" xfId="19901" xr:uid="{00000000-0005-0000-0000-0000E15B0000}"/>
    <cellStyle name="Output 3 4" xfId="1583" xr:uid="{00000000-0005-0000-0000-0000E25B0000}"/>
    <cellStyle name="Output 3 4 2" xfId="2080" xr:uid="{00000000-0005-0000-0000-0000E35B0000}"/>
    <cellStyle name="Output 3 4 2 2" xfId="4069" xr:uid="{00000000-0005-0000-0000-0000E45B0000}"/>
    <cellStyle name="Output 3 4 2 2 2" xfId="8116" xr:uid="{00000000-0005-0000-0000-0000E55B0000}"/>
    <cellStyle name="Output 3 4 2 2 2 2" xfId="17505" xr:uid="{00000000-0005-0000-0000-0000E65B0000}"/>
    <cellStyle name="Output 3 4 2 2 2 2 2" xfId="32337" xr:uid="{00000000-0005-0000-0000-0000E75B0000}"/>
    <cellStyle name="Output 3 4 2 2 2 3" xfId="19257" xr:uid="{00000000-0005-0000-0000-0000E85B0000}"/>
    <cellStyle name="Output 3 4 2 2 3" xfId="14401" xr:uid="{00000000-0005-0000-0000-0000E95B0000}"/>
    <cellStyle name="Output 3 4 2 2 3 2" xfId="29233" xr:uid="{00000000-0005-0000-0000-0000EA5B0000}"/>
    <cellStyle name="Output 3 4 2 2 4" xfId="11121" xr:uid="{00000000-0005-0000-0000-0000EB5B0000}"/>
    <cellStyle name="Output 3 4 2 2 4 2" xfId="25953" xr:uid="{00000000-0005-0000-0000-0000EC5B0000}"/>
    <cellStyle name="Output 3 4 2 3" xfId="5048" xr:uid="{00000000-0005-0000-0000-0000ED5B0000}"/>
    <cellStyle name="Output 3 4 2 3 2" xfId="9087" xr:uid="{00000000-0005-0000-0000-0000EE5B0000}"/>
    <cellStyle name="Output 3 4 2 3 2 2" xfId="18020" xr:uid="{00000000-0005-0000-0000-0000EF5B0000}"/>
    <cellStyle name="Output 3 4 2 3 2 2 2" xfId="32852" xr:uid="{00000000-0005-0000-0000-0000F05B0000}"/>
    <cellStyle name="Output 3 4 2 3 2 3" xfId="19586" xr:uid="{00000000-0005-0000-0000-0000F15B0000}"/>
    <cellStyle name="Output 3 4 2 3 3" xfId="15369" xr:uid="{00000000-0005-0000-0000-0000F25B0000}"/>
    <cellStyle name="Output 3 4 2 3 3 2" xfId="30201" xr:uid="{00000000-0005-0000-0000-0000F35B0000}"/>
    <cellStyle name="Output 3 4 2 3 4" xfId="11620" xr:uid="{00000000-0005-0000-0000-0000F45B0000}"/>
    <cellStyle name="Output 3 4 2 3 4 2" xfId="26452" xr:uid="{00000000-0005-0000-0000-0000F55B0000}"/>
    <cellStyle name="Output 3 4 2 4" xfId="3038" xr:uid="{00000000-0005-0000-0000-0000F65B0000}"/>
    <cellStyle name="Output 3 4 2 4 2" xfId="7113" xr:uid="{00000000-0005-0000-0000-0000F75B0000}"/>
    <cellStyle name="Output 3 4 2 4 2 2" xfId="16911" xr:uid="{00000000-0005-0000-0000-0000F85B0000}"/>
    <cellStyle name="Output 3 4 2 4 2 2 2" xfId="31743" xr:uid="{00000000-0005-0000-0000-0000F95B0000}"/>
    <cellStyle name="Output 3 4 2 4 2 3" xfId="18879" xr:uid="{00000000-0005-0000-0000-0000FA5B0000}"/>
    <cellStyle name="Output 3 4 2 4 3" xfId="13376" xr:uid="{00000000-0005-0000-0000-0000FB5B0000}"/>
    <cellStyle name="Output 3 4 2 4 3 2" xfId="28208" xr:uid="{00000000-0005-0000-0000-0000FC5B0000}"/>
    <cellStyle name="Output 3 4 2 4 4" xfId="10567" xr:uid="{00000000-0005-0000-0000-0000FD5B0000}"/>
    <cellStyle name="Output 3 4 2 4 4 2" xfId="25399" xr:uid="{00000000-0005-0000-0000-0000FE5B0000}"/>
    <cellStyle name="Output 3 4 2 5" xfId="6205" xr:uid="{00000000-0005-0000-0000-0000FF5B0000}"/>
    <cellStyle name="Output 3 4 2 5 2" xfId="16391" xr:uid="{00000000-0005-0000-0000-0000005C0000}"/>
    <cellStyle name="Output 3 4 2 5 2 2" xfId="31223" xr:uid="{00000000-0005-0000-0000-0000015C0000}"/>
    <cellStyle name="Output 3 4 2 5 3" xfId="18520" xr:uid="{00000000-0005-0000-0000-0000025C0000}"/>
    <cellStyle name="Output 3 4 2 6" xfId="12461" xr:uid="{00000000-0005-0000-0000-0000035C0000}"/>
    <cellStyle name="Output 3 4 2 6 2" xfId="27293" xr:uid="{00000000-0005-0000-0000-0000045C0000}"/>
    <cellStyle name="Output 3 4 2 7" xfId="10043" xr:uid="{00000000-0005-0000-0000-0000055C0000}"/>
    <cellStyle name="Output 3 4 2 7 2" xfId="24875" xr:uid="{00000000-0005-0000-0000-0000065C0000}"/>
    <cellStyle name="Output 3 4 3" xfId="4022" xr:uid="{00000000-0005-0000-0000-0000075C0000}"/>
    <cellStyle name="Output 3 4 3 2" xfId="8069" xr:uid="{00000000-0005-0000-0000-0000085C0000}"/>
    <cellStyle name="Output 3 4 3 2 2" xfId="17480" xr:uid="{00000000-0005-0000-0000-0000095C0000}"/>
    <cellStyle name="Output 3 4 3 2 2 2" xfId="32312" xr:uid="{00000000-0005-0000-0000-00000A5C0000}"/>
    <cellStyle name="Output 3 4 3 2 3" xfId="19238" xr:uid="{00000000-0005-0000-0000-00000B5C0000}"/>
    <cellStyle name="Output 3 4 3 3" xfId="14354" xr:uid="{00000000-0005-0000-0000-00000C5C0000}"/>
    <cellStyle name="Output 3 4 3 3 2" xfId="29186" xr:uid="{00000000-0005-0000-0000-00000D5C0000}"/>
    <cellStyle name="Output 3 4 3 4" xfId="11096" xr:uid="{00000000-0005-0000-0000-00000E5C0000}"/>
    <cellStyle name="Output 3 4 3 4 2" xfId="25928" xr:uid="{00000000-0005-0000-0000-00000F5C0000}"/>
    <cellStyle name="Output 3 4 4" xfId="4628" xr:uid="{00000000-0005-0000-0000-0000105C0000}"/>
    <cellStyle name="Output 3 4 4 2" xfId="8667" xr:uid="{00000000-0005-0000-0000-0000115C0000}"/>
    <cellStyle name="Output 3 4 4 2 2" xfId="17780" xr:uid="{00000000-0005-0000-0000-0000125C0000}"/>
    <cellStyle name="Output 3 4 4 2 2 2" xfId="32612" xr:uid="{00000000-0005-0000-0000-0000135C0000}"/>
    <cellStyle name="Output 3 4 4 2 3" xfId="19426" xr:uid="{00000000-0005-0000-0000-0000145C0000}"/>
    <cellStyle name="Output 3 4 4 3" xfId="14954" xr:uid="{00000000-0005-0000-0000-0000155C0000}"/>
    <cellStyle name="Output 3 4 4 3 2" xfId="29786" xr:uid="{00000000-0005-0000-0000-0000165C0000}"/>
    <cellStyle name="Output 3 4 4 4" xfId="11385" xr:uid="{00000000-0005-0000-0000-0000175C0000}"/>
    <cellStyle name="Output 3 4 4 4 2" xfId="26217" xr:uid="{00000000-0005-0000-0000-0000185C0000}"/>
    <cellStyle name="Output 3 4 5" xfId="2618" xr:uid="{00000000-0005-0000-0000-0000195C0000}"/>
    <cellStyle name="Output 3 4 5 2" xfId="6719" xr:uid="{00000000-0005-0000-0000-00001A5C0000}"/>
    <cellStyle name="Output 3 4 5 2 2" xfId="16676" xr:uid="{00000000-0005-0000-0000-00001B5C0000}"/>
    <cellStyle name="Output 3 4 5 2 2 2" xfId="31508" xr:uid="{00000000-0005-0000-0000-00001C5C0000}"/>
    <cellStyle name="Output 3 4 5 2 3" xfId="18715" xr:uid="{00000000-0005-0000-0000-00001D5C0000}"/>
    <cellStyle name="Output 3 4 5 3" xfId="12956" xr:uid="{00000000-0005-0000-0000-00001E5C0000}"/>
    <cellStyle name="Output 3 4 5 3 2" xfId="27788" xr:uid="{00000000-0005-0000-0000-00001F5C0000}"/>
    <cellStyle name="Output 3 4 5 4" xfId="10327" xr:uid="{00000000-0005-0000-0000-0000205C0000}"/>
    <cellStyle name="Output 3 4 5 4 2" xfId="25159" xr:uid="{00000000-0005-0000-0000-0000215C0000}"/>
    <cellStyle name="Output 3 4 6" xfId="5735" xr:uid="{00000000-0005-0000-0000-0000225C0000}"/>
    <cellStyle name="Output 3 4 6 2" xfId="15970" xr:uid="{00000000-0005-0000-0000-0000235C0000}"/>
    <cellStyle name="Output 3 4 6 2 2" xfId="30802" xr:uid="{00000000-0005-0000-0000-0000245C0000}"/>
    <cellStyle name="Output 3 4 6 3" xfId="18356" xr:uid="{00000000-0005-0000-0000-0000255C0000}"/>
    <cellStyle name="Output 3 4 7" xfId="11990" xr:uid="{00000000-0005-0000-0000-0000265C0000}"/>
    <cellStyle name="Output 3 4 7 2" xfId="26822" xr:uid="{00000000-0005-0000-0000-0000275C0000}"/>
    <cellStyle name="Output 3 4 8" xfId="9649" xr:uid="{00000000-0005-0000-0000-0000285C0000}"/>
    <cellStyle name="Output 3 4 8 2" xfId="19950" xr:uid="{00000000-0005-0000-0000-0000295C0000}"/>
    <cellStyle name="Output 3 5" xfId="1633" xr:uid="{00000000-0005-0000-0000-00002A5C0000}"/>
    <cellStyle name="Output 3 5 2" xfId="2130" xr:uid="{00000000-0005-0000-0000-00002B5C0000}"/>
    <cellStyle name="Output 3 5 2 2" xfId="3535" xr:uid="{00000000-0005-0000-0000-00002C5C0000}"/>
    <cellStyle name="Output 3 5 2 2 2" xfId="7597" xr:uid="{00000000-0005-0000-0000-00002D5C0000}"/>
    <cellStyle name="Output 3 5 2 2 2 2" xfId="17241" xr:uid="{00000000-0005-0000-0000-00002E5C0000}"/>
    <cellStyle name="Output 3 5 2 2 2 2 2" xfId="32073" xr:uid="{00000000-0005-0000-0000-00002F5C0000}"/>
    <cellStyle name="Output 3 5 2 2 2 3" xfId="19068" xr:uid="{00000000-0005-0000-0000-0000305C0000}"/>
    <cellStyle name="Output 3 5 2 2 3" xfId="13872" xr:uid="{00000000-0005-0000-0000-0000315C0000}"/>
    <cellStyle name="Output 3 5 2 2 3 2" xfId="28704" xr:uid="{00000000-0005-0000-0000-0000325C0000}"/>
    <cellStyle name="Output 3 5 2 2 4" xfId="10859" xr:uid="{00000000-0005-0000-0000-0000335C0000}"/>
    <cellStyle name="Output 3 5 2 2 4 2" xfId="25691" xr:uid="{00000000-0005-0000-0000-0000345C0000}"/>
    <cellStyle name="Output 3 5 2 3" xfId="5098" xr:uid="{00000000-0005-0000-0000-0000355C0000}"/>
    <cellStyle name="Output 3 5 2 3 2" xfId="9137" xr:uid="{00000000-0005-0000-0000-0000365C0000}"/>
    <cellStyle name="Output 3 5 2 3 2 2" xfId="18065" xr:uid="{00000000-0005-0000-0000-0000375C0000}"/>
    <cellStyle name="Output 3 5 2 3 2 2 2" xfId="32897" xr:uid="{00000000-0005-0000-0000-0000385C0000}"/>
    <cellStyle name="Output 3 5 2 3 2 3" xfId="19618" xr:uid="{00000000-0005-0000-0000-0000395C0000}"/>
    <cellStyle name="Output 3 5 2 3 3" xfId="15418" xr:uid="{00000000-0005-0000-0000-00003A5C0000}"/>
    <cellStyle name="Output 3 5 2 3 3 2" xfId="30250" xr:uid="{00000000-0005-0000-0000-00003B5C0000}"/>
    <cellStyle name="Output 3 5 2 3 4" xfId="11664" xr:uid="{00000000-0005-0000-0000-00003C5C0000}"/>
    <cellStyle name="Output 3 5 2 3 4 2" xfId="26496" xr:uid="{00000000-0005-0000-0000-00003D5C0000}"/>
    <cellStyle name="Output 3 5 2 4" xfId="3088" xr:uid="{00000000-0005-0000-0000-00003E5C0000}"/>
    <cellStyle name="Output 3 5 2 4 2" xfId="7158" xr:uid="{00000000-0005-0000-0000-00003F5C0000}"/>
    <cellStyle name="Output 3 5 2 4 2 2" xfId="16955" xr:uid="{00000000-0005-0000-0000-0000405C0000}"/>
    <cellStyle name="Output 3 5 2 4 2 2 2" xfId="31787" xr:uid="{00000000-0005-0000-0000-0000415C0000}"/>
    <cellStyle name="Output 3 5 2 4 2 3" xfId="18912" xr:uid="{00000000-0005-0000-0000-0000425C0000}"/>
    <cellStyle name="Output 3 5 2 4 3" xfId="13426" xr:uid="{00000000-0005-0000-0000-0000435C0000}"/>
    <cellStyle name="Output 3 5 2 4 3 2" xfId="28258" xr:uid="{00000000-0005-0000-0000-0000445C0000}"/>
    <cellStyle name="Output 3 5 2 4 4" xfId="10612" xr:uid="{00000000-0005-0000-0000-0000455C0000}"/>
    <cellStyle name="Output 3 5 2 4 4 2" xfId="25444" xr:uid="{00000000-0005-0000-0000-0000465C0000}"/>
    <cellStyle name="Output 3 5 2 5" xfId="6250" xr:uid="{00000000-0005-0000-0000-0000475C0000}"/>
    <cellStyle name="Output 3 5 2 5 2" xfId="16435" xr:uid="{00000000-0005-0000-0000-0000485C0000}"/>
    <cellStyle name="Output 3 5 2 5 2 2" xfId="31267" xr:uid="{00000000-0005-0000-0000-0000495C0000}"/>
    <cellStyle name="Output 3 5 2 5 3" xfId="18553" xr:uid="{00000000-0005-0000-0000-00004A5C0000}"/>
    <cellStyle name="Output 3 5 2 6" xfId="12505" xr:uid="{00000000-0005-0000-0000-00004B5C0000}"/>
    <cellStyle name="Output 3 5 2 6 2" xfId="27337" xr:uid="{00000000-0005-0000-0000-00004C5C0000}"/>
    <cellStyle name="Output 3 5 2 7" xfId="10087" xr:uid="{00000000-0005-0000-0000-00004D5C0000}"/>
    <cellStyle name="Output 3 5 2 7 2" xfId="24919" xr:uid="{00000000-0005-0000-0000-00004E5C0000}"/>
    <cellStyle name="Output 3 5 3" xfId="3829" xr:uid="{00000000-0005-0000-0000-00004F5C0000}"/>
    <cellStyle name="Output 3 5 3 2" xfId="7882" xr:uid="{00000000-0005-0000-0000-0000505C0000}"/>
    <cellStyle name="Output 3 5 3 2 2" xfId="17384" xr:uid="{00000000-0005-0000-0000-0000515C0000}"/>
    <cellStyle name="Output 3 5 3 2 2 2" xfId="32216" xr:uid="{00000000-0005-0000-0000-0000525C0000}"/>
    <cellStyle name="Output 3 5 3 2 3" xfId="19168" xr:uid="{00000000-0005-0000-0000-0000535C0000}"/>
    <cellStyle name="Output 3 5 3 3" xfId="14164" xr:uid="{00000000-0005-0000-0000-0000545C0000}"/>
    <cellStyle name="Output 3 5 3 3 2" xfId="28996" xr:uid="{00000000-0005-0000-0000-0000555C0000}"/>
    <cellStyle name="Output 3 5 3 4" xfId="11003" xr:uid="{00000000-0005-0000-0000-0000565C0000}"/>
    <cellStyle name="Output 3 5 3 4 2" xfId="25835" xr:uid="{00000000-0005-0000-0000-0000575C0000}"/>
    <cellStyle name="Output 3 5 4" xfId="4678" xr:uid="{00000000-0005-0000-0000-0000585C0000}"/>
    <cellStyle name="Output 3 5 4 2" xfId="8717" xr:uid="{00000000-0005-0000-0000-0000595C0000}"/>
    <cellStyle name="Output 3 5 4 2 2" xfId="17825" xr:uid="{00000000-0005-0000-0000-00005A5C0000}"/>
    <cellStyle name="Output 3 5 4 2 2 2" xfId="32657" xr:uid="{00000000-0005-0000-0000-00005B5C0000}"/>
    <cellStyle name="Output 3 5 4 2 3" xfId="19458" xr:uid="{00000000-0005-0000-0000-00005C5C0000}"/>
    <cellStyle name="Output 3 5 4 3" xfId="15003" xr:uid="{00000000-0005-0000-0000-00005D5C0000}"/>
    <cellStyle name="Output 3 5 4 3 2" xfId="29835" xr:uid="{00000000-0005-0000-0000-00005E5C0000}"/>
    <cellStyle name="Output 3 5 4 4" xfId="11429" xr:uid="{00000000-0005-0000-0000-00005F5C0000}"/>
    <cellStyle name="Output 3 5 4 4 2" xfId="26261" xr:uid="{00000000-0005-0000-0000-0000605C0000}"/>
    <cellStyle name="Output 3 5 5" xfId="2668" xr:uid="{00000000-0005-0000-0000-0000615C0000}"/>
    <cellStyle name="Output 3 5 5 2" xfId="6764" xr:uid="{00000000-0005-0000-0000-0000625C0000}"/>
    <cellStyle name="Output 3 5 5 2 2" xfId="16720" xr:uid="{00000000-0005-0000-0000-0000635C0000}"/>
    <cellStyle name="Output 3 5 5 2 2 2" xfId="31552" xr:uid="{00000000-0005-0000-0000-0000645C0000}"/>
    <cellStyle name="Output 3 5 5 2 3" xfId="18748" xr:uid="{00000000-0005-0000-0000-0000655C0000}"/>
    <cellStyle name="Output 3 5 5 3" xfId="13006" xr:uid="{00000000-0005-0000-0000-0000665C0000}"/>
    <cellStyle name="Output 3 5 5 3 2" xfId="27838" xr:uid="{00000000-0005-0000-0000-0000675C0000}"/>
    <cellStyle name="Output 3 5 5 4" xfId="10372" xr:uid="{00000000-0005-0000-0000-0000685C0000}"/>
    <cellStyle name="Output 3 5 5 4 2" xfId="25204" xr:uid="{00000000-0005-0000-0000-0000695C0000}"/>
    <cellStyle name="Output 3 5 6" xfId="5780" xr:uid="{00000000-0005-0000-0000-00006A5C0000}"/>
    <cellStyle name="Output 3 5 6 2" xfId="16014" xr:uid="{00000000-0005-0000-0000-00006B5C0000}"/>
    <cellStyle name="Output 3 5 6 2 2" xfId="30846" xr:uid="{00000000-0005-0000-0000-00006C5C0000}"/>
    <cellStyle name="Output 3 5 6 3" xfId="18389" xr:uid="{00000000-0005-0000-0000-00006D5C0000}"/>
    <cellStyle name="Output 3 5 7" xfId="12034" xr:uid="{00000000-0005-0000-0000-00006E5C0000}"/>
    <cellStyle name="Output 3 5 7 2" xfId="26866" xr:uid="{00000000-0005-0000-0000-00006F5C0000}"/>
    <cellStyle name="Output 3 5 8" xfId="9694" xr:uid="{00000000-0005-0000-0000-0000705C0000}"/>
    <cellStyle name="Output 3 5 8 2" xfId="19994" xr:uid="{00000000-0005-0000-0000-0000715C0000}"/>
    <cellStyle name="Output 3 6" xfId="1784" xr:uid="{00000000-0005-0000-0000-0000725C0000}"/>
    <cellStyle name="Output 3 6 2" xfId="3651" xr:uid="{00000000-0005-0000-0000-0000735C0000}"/>
    <cellStyle name="Output 3 6 2 2" xfId="7710" xr:uid="{00000000-0005-0000-0000-0000745C0000}"/>
    <cellStyle name="Output 3 6 2 2 2" xfId="17301" xr:uid="{00000000-0005-0000-0000-0000755C0000}"/>
    <cellStyle name="Output 3 6 2 2 2 2" xfId="32133" xr:uid="{00000000-0005-0000-0000-0000765C0000}"/>
    <cellStyle name="Output 3 6 2 2 3" xfId="19112" xr:uid="{00000000-0005-0000-0000-0000775C0000}"/>
    <cellStyle name="Output 3 6 2 3" xfId="13986" xr:uid="{00000000-0005-0000-0000-0000785C0000}"/>
    <cellStyle name="Output 3 6 2 3 2" xfId="28818" xr:uid="{00000000-0005-0000-0000-0000795C0000}"/>
    <cellStyle name="Output 3 6 2 4" xfId="10917" xr:uid="{00000000-0005-0000-0000-00007A5C0000}"/>
    <cellStyle name="Output 3 6 2 4 2" xfId="25749" xr:uid="{00000000-0005-0000-0000-00007B5C0000}"/>
    <cellStyle name="Output 3 6 3" xfId="4762" xr:uid="{00000000-0005-0000-0000-00007C5C0000}"/>
    <cellStyle name="Output 3 6 3 2" xfId="8801" xr:uid="{00000000-0005-0000-0000-00007D5C0000}"/>
    <cellStyle name="Output 3 6 3 2 2" xfId="17873" xr:uid="{00000000-0005-0000-0000-00007E5C0000}"/>
    <cellStyle name="Output 3 6 3 2 2 2" xfId="32705" xr:uid="{00000000-0005-0000-0000-00007F5C0000}"/>
    <cellStyle name="Output 3 6 3 2 3" xfId="19490" xr:uid="{00000000-0005-0000-0000-0000805C0000}"/>
    <cellStyle name="Output 3 6 3 3" xfId="15086" xr:uid="{00000000-0005-0000-0000-0000815C0000}"/>
    <cellStyle name="Output 3 6 3 3 2" xfId="29918" xr:uid="{00000000-0005-0000-0000-0000825C0000}"/>
    <cellStyle name="Output 3 6 3 4" xfId="11476" xr:uid="{00000000-0005-0000-0000-0000835C0000}"/>
    <cellStyle name="Output 3 6 3 4 2" xfId="26308" xr:uid="{00000000-0005-0000-0000-0000845C0000}"/>
    <cellStyle name="Output 3 6 4" xfId="2752" xr:uid="{00000000-0005-0000-0000-0000855C0000}"/>
    <cellStyle name="Output 3 6 4 2" xfId="6843" xr:uid="{00000000-0005-0000-0000-0000865C0000}"/>
    <cellStyle name="Output 3 6 4 2 2" xfId="16767" xr:uid="{00000000-0005-0000-0000-0000875C0000}"/>
    <cellStyle name="Output 3 6 4 2 2 2" xfId="31599" xr:uid="{00000000-0005-0000-0000-0000885C0000}"/>
    <cellStyle name="Output 3 6 4 2 3" xfId="18781" xr:uid="{00000000-0005-0000-0000-0000895C0000}"/>
    <cellStyle name="Output 3 6 4 3" xfId="13090" xr:uid="{00000000-0005-0000-0000-00008A5C0000}"/>
    <cellStyle name="Output 3 6 4 3 2" xfId="27922" xr:uid="{00000000-0005-0000-0000-00008B5C0000}"/>
    <cellStyle name="Output 3 6 4 4" xfId="10420" xr:uid="{00000000-0005-0000-0000-00008C5C0000}"/>
    <cellStyle name="Output 3 6 4 4 2" xfId="25252" xr:uid="{00000000-0005-0000-0000-00008D5C0000}"/>
    <cellStyle name="Output 3 6 5" xfId="5916" xr:uid="{00000000-0005-0000-0000-00008E5C0000}"/>
    <cellStyle name="Output 3 6 5 2" xfId="16108" xr:uid="{00000000-0005-0000-0000-00008F5C0000}"/>
    <cellStyle name="Output 3 6 5 2 2" xfId="30940" xr:uid="{00000000-0005-0000-0000-0000905C0000}"/>
    <cellStyle name="Output 3 6 5 3" xfId="18423" xr:uid="{00000000-0005-0000-0000-0000915C0000}"/>
    <cellStyle name="Output 3 6 6" xfId="12178" xr:uid="{00000000-0005-0000-0000-0000925C0000}"/>
    <cellStyle name="Output 3 6 6 2" xfId="27010" xr:uid="{00000000-0005-0000-0000-0000935C0000}"/>
    <cellStyle name="Output 3 6 7" xfId="9774" xr:uid="{00000000-0005-0000-0000-0000945C0000}"/>
    <cellStyle name="Output 3 6 7 2" xfId="24731" xr:uid="{00000000-0005-0000-0000-0000955C0000}"/>
    <cellStyle name="Output 3 7" xfId="2182" xr:uid="{00000000-0005-0000-0000-0000965C0000}"/>
    <cellStyle name="Output 3 7 2" xfId="4062" xr:uid="{00000000-0005-0000-0000-0000975C0000}"/>
    <cellStyle name="Output 3 7 2 2" xfId="8109" xr:uid="{00000000-0005-0000-0000-0000985C0000}"/>
    <cellStyle name="Output 3 7 2 2 2" xfId="17499" xr:uid="{00000000-0005-0000-0000-0000995C0000}"/>
    <cellStyle name="Output 3 7 2 2 2 2" xfId="32331" xr:uid="{00000000-0005-0000-0000-00009A5C0000}"/>
    <cellStyle name="Output 3 7 2 2 3" xfId="19252" xr:uid="{00000000-0005-0000-0000-00009B5C0000}"/>
    <cellStyle name="Output 3 7 2 3" xfId="14394" xr:uid="{00000000-0005-0000-0000-00009C5C0000}"/>
    <cellStyle name="Output 3 7 2 3 2" xfId="29226" xr:uid="{00000000-0005-0000-0000-00009D5C0000}"/>
    <cellStyle name="Output 3 7 2 4" xfId="11115" xr:uid="{00000000-0005-0000-0000-00009E5C0000}"/>
    <cellStyle name="Output 3 7 2 4 2" xfId="25947" xr:uid="{00000000-0005-0000-0000-00009F5C0000}"/>
    <cellStyle name="Output 3 7 3" xfId="5150" xr:uid="{00000000-0005-0000-0000-0000A05C0000}"/>
    <cellStyle name="Output 3 7 3 2" xfId="9189" xr:uid="{00000000-0005-0000-0000-0000A15C0000}"/>
    <cellStyle name="Output 3 7 3 2 2" xfId="18112" xr:uid="{00000000-0005-0000-0000-0000A25C0000}"/>
    <cellStyle name="Output 3 7 3 2 2 2" xfId="32944" xr:uid="{00000000-0005-0000-0000-0000A35C0000}"/>
    <cellStyle name="Output 3 7 3 2 3" xfId="19663" xr:uid="{00000000-0005-0000-0000-0000A45C0000}"/>
    <cellStyle name="Output 3 7 3 3" xfId="15468" xr:uid="{00000000-0005-0000-0000-0000A55C0000}"/>
    <cellStyle name="Output 3 7 3 3 2" xfId="30300" xr:uid="{00000000-0005-0000-0000-0000A65C0000}"/>
    <cellStyle name="Output 3 7 3 4" xfId="11709" xr:uid="{00000000-0005-0000-0000-0000A75C0000}"/>
    <cellStyle name="Output 3 7 3 4 2" xfId="26541" xr:uid="{00000000-0005-0000-0000-0000A85C0000}"/>
    <cellStyle name="Output 3 7 4" xfId="4180" xr:uid="{00000000-0005-0000-0000-0000A95C0000}"/>
    <cellStyle name="Output 3 7 4 2" xfId="8221" xr:uid="{00000000-0005-0000-0000-0000AA5C0000}"/>
    <cellStyle name="Output 3 7 4 2 2" xfId="17568" xr:uid="{00000000-0005-0000-0000-0000AB5C0000}"/>
    <cellStyle name="Output 3 7 4 2 2 2" xfId="32400" xr:uid="{00000000-0005-0000-0000-0000AC5C0000}"/>
    <cellStyle name="Output 3 7 4 2 3" xfId="19306" xr:uid="{00000000-0005-0000-0000-0000AD5C0000}"/>
    <cellStyle name="Output 3 7 4 3" xfId="14512" xr:uid="{00000000-0005-0000-0000-0000AE5C0000}"/>
    <cellStyle name="Output 3 7 4 3 2" xfId="29344" xr:uid="{00000000-0005-0000-0000-0000AF5C0000}"/>
    <cellStyle name="Output 3 7 4 4" xfId="11188" xr:uid="{00000000-0005-0000-0000-0000B05C0000}"/>
    <cellStyle name="Output 3 7 4 4 2" xfId="26020" xr:uid="{00000000-0005-0000-0000-0000B15C0000}"/>
    <cellStyle name="Output 3 7 5" xfId="6296" xr:uid="{00000000-0005-0000-0000-0000B25C0000}"/>
    <cellStyle name="Output 3 7 5 2" xfId="16480" xr:uid="{00000000-0005-0000-0000-0000B35C0000}"/>
    <cellStyle name="Output 3 7 5 2 2" xfId="31312" xr:uid="{00000000-0005-0000-0000-0000B45C0000}"/>
    <cellStyle name="Output 3 7 5 3" xfId="18599" xr:uid="{00000000-0005-0000-0000-0000B55C0000}"/>
    <cellStyle name="Output 3 7 6" xfId="12550" xr:uid="{00000000-0005-0000-0000-0000B65C0000}"/>
    <cellStyle name="Output 3 7 6 2" xfId="27382" xr:uid="{00000000-0005-0000-0000-0000B75C0000}"/>
    <cellStyle name="Output 3 7 7" xfId="10132" xr:uid="{00000000-0005-0000-0000-0000B85C0000}"/>
    <cellStyle name="Output 3 7 7 2" xfId="24964" xr:uid="{00000000-0005-0000-0000-0000B95C0000}"/>
    <cellStyle name="Output 3 8" xfId="3634" xr:uid="{00000000-0005-0000-0000-0000BA5C0000}"/>
    <cellStyle name="Output 3 8 2" xfId="7693" xr:uid="{00000000-0005-0000-0000-0000BB5C0000}"/>
    <cellStyle name="Output 3 8 2 2" xfId="17292" xr:uid="{00000000-0005-0000-0000-0000BC5C0000}"/>
    <cellStyle name="Output 3 8 2 2 2" xfId="32124" xr:uid="{00000000-0005-0000-0000-0000BD5C0000}"/>
    <cellStyle name="Output 3 8 2 3" xfId="19106" xr:uid="{00000000-0005-0000-0000-0000BE5C0000}"/>
    <cellStyle name="Output 3 8 3" xfId="13969" xr:uid="{00000000-0005-0000-0000-0000BF5C0000}"/>
    <cellStyle name="Output 3 8 3 2" xfId="28801" xr:uid="{00000000-0005-0000-0000-0000C05C0000}"/>
    <cellStyle name="Output 3 8 4" xfId="10908" xr:uid="{00000000-0005-0000-0000-0000C15C0000}"/>
    <cellStyle name="Output 3 8 4 2" xfId="25740" xr:uid="{00000000-0005-0000-0000-0000C25C0000}"/>
    <cellStyle name="Output 3 9" xfId="3314" xr:uid="{00000000-0005-0000-0000-0000C35C0000}"/>
    <cellStyle name="Output 3 9 2" xfId="7377" xr:uid="{00000000-0005-0000-0000-0000C45C0000}"/>
    <cellStyle name="Output 3 9 2 2" xfId="17112" xr:uid="{00000000-0005-0000-0000-0000C55C0000}"/>
    <cellStyle name="Output 3 9 2 2 2" xfId="31944" xr:uid="{00000000-0005-0000-0000-0000C65C0000}"/>
    <cellStyle name="Output 3 9 2 3" xfId="18993" xr:uid="{00000000-0005-0000-0000-0000C75C0000}"/>
    <cellStyle name="Output 3 9 3" xfId="13651" xr:uid="{00000000-0005-0000-0000-0000C85C0000}"/>
    <cellStyle name="Output 3 9 3 2" xfId="28483" xr:uid="{00000000-0005-0000-0000-0000C95C0000}"/>
    <cellStyle name="Output 3 9 4" xfId="10734" xr:uid="{00000000-0005-0000-0000-0000CA5C0000}"/>
    <cellStyle name="Output 3 9 4 2" xfId="25566" xr:uid="{00000000-0005-0000-0000-0000CB5C0000}"/>
    <cellStyle name="Output 4" xfId="1240" xr:uid="{00000000-0005-0000-0000-0000CC5C0000}"/>
    <cellStyle name="Output 4 10" xfId="2326" xr:uid="{00000000-0005-0000-0000-0000CD5C0000}"/>
    <cellStyle name="Output 4 10 2" xfId="6438" xr:uid="{00000000-0005-0000-0000-0000CE5C0000}"/>
    <cellStyle name="Output 4 10 2 2" xfId="16531" xr:uid="{00000000-0005-0000-0000-0000CF5C0000}"/>
    <cellStyle name="Output 4 10 2 2 2" xfId="31363" xr:uid="{00000000-0005-0000-0000-0000D05C0000}"/>
    <cellStyle name="Output 4 10 2 3" xfId="18619" xr:uid="{00000000-0005-0000-0000-0000D15C0000}"/>
    <cellStyle name="Output 4 10 3" xfId="12666" xr:uid="{00000000-0005-0000-0000-0000D25C0000}"/>
    <cellStyle name="Output 4 10 3 2" xfId="27498" xr:uid="{00000000-0005-0000-0000-0000D35C0000}"/>
    <cellStyle name="Output 4 10 4" xfId="10182" xr:uid="{00000000-0005-0000-0000-0000D45C0000}"/>
    <cellStyle name="Output 4 10 4 2" xfId="25014" xr:uid="{00000000-0005-0000-0000-0000D55C0000}"/>
    <cellStyle name="Output 4 11" xfId="5289" xr:uid="{00000000-0005-0000-0000-0000D65C0000}"/>
    <cellStyle name="Output 4 11 2" xfId="9297" xr:uid="{00000000-0005-0000-0000-0000D75C0000}"/>
    <cellStyle name="Output 4 11 2 2" xfId="18164" xr:uid="{00000000-0005-0000-0000-0000D85C0000}"/>
    <cellStyle name="Output 4 11 2 2 2" xfId="32996" xr:uid="{00000000-0005-0000-0000-0000D95C0000}"/>
    <cellStyle name="Output 4 11 2 3" xfId="19683" xr:uid="{00000000-0005-0000-0000-0000DA5C0000}"/>
    <cellStyle name="Output 4 11 3" xfId="15605" xr:uid="{00000000-0005-0000-0000-0000DB5C0000}"/>
    <cellStyle name="Output 4 11 3 2" xfId="30437" xr:uid="{00000000-0005-0000-0000-0000DC5C0000}"/>
    <cellStyle name="Output 4 12" xfId="5447" xr:uid="{00000000-0005-0000-0000-0000DD5C0000}"/>
    <cellStyle name="Output 4 12 2" xfId="15683" xr:uid="{00000000-0005-0000-0000-0000DE5C0000}"/>
    <cellStyle name="Output 4 12 2 2" xfId="30515" xr:uid="{00000000-0005-0000-0000-0000DF5C0000}"/>
    <cellStyle name="Output 4 12 3" xfId="18260" xr:uid="{00000000-0005-0000-0000-0000E05C0000}"/>
    <cellStyle name="Output 4 13" xfId="9344" xr:uid="{00000000-0005-0000-0000-0000E15C0000}"/>
    <cellStyle name="Output 4 13 2" xfId="24650" xr:uid="{00000000-0005-0000-0000-0000E25C0000}"/>
    <cellStyle name="Output 4 14" xfId="5333" xr:uid="{00000000-0005-0000-0000-0000E35C0000}"/>
    <cellStyle name="Output 4 14 2" xfId="18207" xr:uid="{00000000-0005-0000-0000-0000E45C0000}"/>
    <cellStyle name="Output 4 2" xfId="1359" xr:uid="{00000000-0005-0000-0000-0000E55C0000}"/>
    <cellStyle name="Output 4 2 2" xfId="1863" xr:uid="{00000000-0005-0000-0000-0000E65C0000}"/>
    <cellStyle name="Output 4 2 2 2" xfId="3914" xr:uid="{00000000-0005-0000-0000-0000E75C0000}"/>
    <cellStyle name="Output 4 2 2 2 2" xfId="7965" xr:uid="{00000000-0005-0000-0000-0000E85C0000}"/>
    <cellStyle name="Output 4 2 2 2 2 2" xfId="17428" xr:uid="{00000000-0005-0000-0000-0000E95C0000}"/>
    <cellStyle name="Output 4 2 2 2 2 2 2" xfId="32260" xr:uid="{00000000-0005-0000-0000-0000EA5C0000}"/>
    <cellStyle name="Output 4 2 2 2 2 3" xfId="19201" xr:uid="{00000000-0005-0000-0000-0000EB5C0000}"/>
    <cellStyle name="Output 4 2 2 2 3" xfId="14247" xr:uid="{00000000-0005-0000-0000-0000EC5C0000}"/>
    <cellStyle name="Output 4 2 2 2 3 2" xfId="29079" xr:uid="{00000000-0005-0000-0000-0000ED5C0000}"/>
    <cellStyle name="Output 4 2 2 2 4" xfId="11044" xr:uid="{00000000-0005-0000-0000-0000EE5C0000}"/>
    <cellStyle name="Output 4 2 2 2 4 2" xfId="25876" xr:uid="{00000000-0005-0000-0000-0000EF5C0000}"/>
    <cellStyle name="Output 4 2 2 3" xfId="4841" xr:uid="{00000000-0005-0000-0000-0000F05C0000}"/>
    <cellStyle name="Output 4 2 2 3 2" xfId="8880" xr:uid="{00000000-0005-0000-0000-0000F15C0000}"/>
    <cellStyle name="Output 4 2 2 3 2 2" xfId="17921" xr:uid="{00000000-0005-0000-0000-0000F25C0000}"/>
    <cellStyle name="Output 4 2 2 3 2 2 2" xfId="32753" xr:uid="{00000000-0005-0000-0000-0000F35C0000}"/>
    <cellStyle name="Output 4 2 2 3 2 3" xfId="19523" xr:uid="{00000000-0005-0000-0000-0000F45C0000}"/>
    <cellStyle name="Output 4 2 2 3 3" xfId="15165" xr:uid="{00000000-0005-0000-0000-0000F55C0000}"/>
    <cellStyle name="Output 4 2 2 3 3 2" xfId="29997" xr:uid="{00000000-0005-0000-0000-0000F65C0000}"/>
    <cellStyle name="Output 4 2 2 3 4" xfId="11524" xr:uid="{00000000-0005-0000-0000-0000F75C0000}"/>
    <cellStyle name="Output 4 2 2 3 4 2" xfId="26356" xr:uid="{00000000-0005-0000-0000-0000F85C0000}"/>
    <cellStyle name="Output 4 2 2 4" xfId="2831" xr:uid="{00000000-0005-0000-0000-0000F95C0000}"/>
    <cellStyle name="Output 4 2 2 4 2" xfId="6922" xr:uid="{00000000-0005-0000-0000-0000FA5C0000}"/>
    <cellStyle name="Output 4 2 2 4 2 2" xfId="16815" xr:uid="{00000000-0005-0000-0000-0000FB5C0000}"/>
    <cellStyle name="Output 4 2 2 4 2 2 2" xfId="31647" xr:uid="{00000000-0005-0000-0000-0000FC5C0000}"/>
    <cellStyle name="Output 4 2 2 4 2 3" xfId="18814" xr:uid="{00000000-0005-0000-0000-0000FD5C0000}"/>
    <cellStyle name="Output 4 2 2 4 3" xfId="13169" xr:uid="{00000000-0005-0000-0000-0000FE5C0000}"/>
    <cellStyle name="Output 4 2 2 4 3 2" xfId="28001" xr:uid="{00000000-0005-0000-0000-0000FF5C0000}"/>
    <cellStyle name="Output 4 2 2 4 4" xfId="10468" xr:uid="{00000000-0005-0000-0000-0000005D0000}"/>
    <cellStyle name="Output 4 2 2 4 4 2" xfId="25300" xr:uid="{00000000-0005-0000-0000-0000015D0000}"/>
    <cellStyle name="Output 4 2 2 5" xfId="5995" xr:uid="{00000000-0005-0000-0000-0000025D0000}"/>
    <cellStyle name="Output 4 2 2 5 2" xfId="16187" xr:uid="{00000000-0005-0000-0000-0000035D0000}"/>
    <cellStyle name="Output 4 2 2 5 2 2" xfId="31019" xr:uid="{00000000-0005-0000-0000-0000045D0000}"/>
    <cellStyle name="Output 4 2 2 5 3" xfId="18456" xr:uid="{00000000-0005-0000-0000-0000055D0000}"/>
    <cellStyle name="Output 4 2 2 6" xfId="12257" xr:uid="{00000000-0005-0000-0000-0000065D0000}"/>
    <cellStyle name="Output 4 2 2 6 2" xfId="27089" xr:uid="{00000000-0005-0000-0000-0000075D0000}"/>
    <cellStyle name="Output 4 2 2 7" xfId="9853" xr:uid="{00000000-0005-0000-0000-0000085D0000}"/>
    <cellStyle name="Output 4 2 2 7 2" xfId="24779" xr:uid="{00000000-0005-0000-0000-0000095D0000}"/>
    <cellStyle name="Output 4 2 3" xfId="3566" xr:uid="{00000000-0005-0000-0000-00000A5D0000}"/>
    <cellStyle name="Output 4 2 3 2" xfId="7628" xr:uid="{00000000-0005-0000-0000-00000B5D0000}"/>
    <cellStyle name="Output 4 2 3 2 2" xfId="17260" xr:uid="{00000000-0005-0000-0000-00000C5D0000}"/>
    <cellStyle name="Output 4 2 3 2 2 2" xfId="32092" xr:uid="{00000000-0005-0000-0000-00000D5D0000}"/>
    <cellStyle name="Output 4 2 3 2 3" xfId="19083" xr:uid="{00000000-0005-0000-0000-00000E5D0000}"/>
    <cellStyle name="Output 4 2 3 3" xfId="13902" xr:uid="{00000000-0005-0000-0000-00000F5D0000}"/>
    <cellStyle name="Output 4 2 3 3 2" xfId="28734" xr:uid="{00000000-0005-0000-0000-0000105D0000}"/>
    <cellStyle name="Output 4 2 3 4" xfId="10877" xr:uid="{00000000-0005-0000-0000-0000115D0000}"/>
    <cellStyle name="Output 4 2 3 4 2" xfId="25709" xr:uid="{00000000-0005-0000-0000-0000125D0000}"/>
    <cellStyle name="Output 4 2 4" xfId="4421" xr:uid="{00000000-0005-0000-0000-0000135D0000}"/>
    <cellStyle name="Output 4 2 4 2" xfId="8460" xr:uid="{00000000-0005-0000-0000-0000145D0000}"/>
    <cellStyle name="Output 4 2 4 2 2" xfId="17681" xr:uid="{00000000-0005-0000-0000-0000155D0000}"/>
    <cellStyle name="Output 4 2 4 2 2 2" xfId="32513" xr:uid="{00000000-0005-0000-0000-0000165D0000}"/>
    <cellStyle name="Output 4 2 4 2 3" xfId="19363" xr:uid="{00000000-0005-0000-0000-0000175D0000}"/>
    <cellStyle name="Output 4 2 4 3" xfId="14750" xr:uid="{00000000-0005-0000-0000-0000185D0000}"/>
    <cellStyle name="Output 4 2 4 3 2" xfId="29582" xr:uid="{00000000-0005-0000-0000-0000195D0000}"/>
    <cellStyle name="Output 4 2 4 4" xfId="11289" xr:uid="{00000000-0005-0000-0000-00001A5D0000}"/>
    <cellStyle name="Output 4 2 4 4 2" xfId="26121" xr:uid="{00000000-0005-0000-0000-00001B5D0000}"/>
    <cellStyle name="Output 4 2 5" xfId="2411" xr:uid="{00000000-0005-0000-0000-00001C5D0000}"/>
    <cellStyle name="Output 4 2 5 2" xfId="6523" xr:uid="{00000000-0005-0000-0000-00001D5D0000}"/>
    <cellStyle name="Output 4 2 5 2 2" xfId="16579" xr:uid="{00000000-0005-0000-0000-00001E5D0000}"/>
    <cellStyle name="Output 4 2 5 2 2 2" xfId="31411" xr:uid="{00000000-0005-0000-0000-00001F5D0000}"/>
    <cellStyle name="Output 4 2 5 2 3" xfId="18651" xr:uid="{00000000-0005-0000-0000-0000205D0000}"/>
    <cellStyle name="Output 4 2 5 3" xfId="12750" xr:uid="{00000000-0005-0000-0000-0000215D0000}"/>
    <cellStyle name="Output 4 2 5 3 2" xfId="27582" xr:uid="{00000000-0005-0000-0000-0000225D0000}"/>
    <cellStyle name="Output 4 2 5 4" xfId="10229" xr:uid="{00000000-0005-0000-0000-0000235D0000}"/>
    <cellStyle name="Output 4 2 5 4 2" xfId="25061" xr:uid="{00000000-0005-0000-0000-0000245D0000}"/>
    <cellStyle name="Output 4 2 6" xfId="5536" xr:uid="{00000000-0005-0000-0000-0000255D0000}"/>
    <cellStyle name="Output 4 2 6 2" xfId="15771" xr:uid="{00000000-0005-0000-0000-0000265D0000}"/>
    <cellStyle name="Output 4 2 6 2 2" xfId="30603" xr:uid="{00000000-0005-0000-0000-0000275D0000}"/>
    <cellStyle name="Output 4 2 6 3" xfId="18293" xr:uid="{00000000-0005-0000-0000-0000285D0000}"/>
    <cellStyle name="Output 4 2 7" xfId="11786" xr:uid="{00000000-0005-0000-0000-0000295D0000}"/>
    <cellStyle name="Output 4 2 7 2" xfId="26618" xr:uid="{00000000-0005-0000-0000-00002A5D0000}"/>
    <cellStyle name="Output 4 2 8" xfId="9457" xr:uid="{00000000-0005-0000-0000-00002B5D0000}"/>
    <cellStyle name="Output 4 2 8 2" xfId="19761" xr:uid="{00000000-0005-0000-0000-00002C5D0000}"/>
    <cellStyle name="Output 4 3" xfId="1529" xr:uid="{00000000-0005-0000-0000-00002D5D0000}"/>
    <cellStyle name="Output 4 3 2" xfId="2026" xr:uid="{00000000-0005-0000-0000-00002E5D0000}"/>
    <cellStyle name="Output 4 3 2 2" xfId="3761" xr:uid="{00000000-0005-0000-0000-00002F5D0000}"/>
    <cellStyle name="Output 4 3 2 2 2" xfId="7817" xr:uid="{00000000-0005-0000-0000-0000305D0000}"/>
    <cellStyle name="Output 4 3 2 2 2 2" xfId="17352" xr:uid="{00000000-0005-0000-0000-0000315D0000}"/>
    <cellStyle name="Output 4 3 2 2 2 2 2" xfId="32184" xr:uid="{00000000-0005-0000-0000-0000325D0000}"/>
    <cellStyle name="Output 4 3 2 2 2 3" xfId="19146" xr:uid="{00000000-0005-0000-0000-0000335D0000}"/>
    <cellStyle name="Output 4 3 2 2 3" xfId="14096" xr:uid="{00000000-0005-0000-0000-0000345D0000}"/>
    <cellStyle name="Output 4 3 2 2 3 2" xfId="28928" xr:uid="{00000000-0005-0000-0000-0000355D0000}"/>
    <cellStyle name="Output 4 3 2 2 4" xfId="10968" xr:uid="{00000000-0005-0000-0000-0000365D0000}"/>
    <cellStyle name="Output 4 3 2 2 4 2" xfId="25800" xr:uid="{00000000-0005-0000-0000-0000375D0000}"/>
    <cellStyle name="Output 4 3 2 3" xfId="4994" xr:uid="{00000000-0005-0000-0000-0000385D0000}"/>
    <cellStyle name="Output 4 3 2 3 2" xfId="9033" xr:uid="{00000000-0005-0000-0000-0000395D0000}"/>
    <cellStyle name="Output 4 3 2 3 2 2" xfId="17971" xr:uid="{00000000-0005-0000-0000-00003A5D0000}"/>
    <cellStyle name="Output 4 3 2 3 2 2 2" xfId="32803" xr:uid="{00000000-0005-0000-0000-00003B5D0000}"/>
    <cellStyle name="Output 4 3 2 3 2 3" xfId="19555" xr:uid="{00000000-0005-0000-0000-00003C5D0000}"/>
    <cellStyle name="Output 4 3 2 3 3" xfId="15316" xr:uid="{00000000-0005-0000-0000-00003D5D0000}"/>
    <cellStyle name="Output 4 3 2 3 3 2" xfId="30148" xr:uid="{00000000-0005-0000-0000-00003E5D0000}"/>
    <cellStyle name="Output 4 3 2 3 4" xfId="11572" xr:uid="{00000000-0005-0000-0000-00003F5D0000}"/>
    <cellStyle name="Output 4 3 2 3 4 2" xfId="26404" xr:uid="{00000000-0005-0000-0000-0000405D0000}"/>
    <cellStyle name="Output 4 3 2 4" xfId="2984" xr:uid="{00000000-0005-0000-0000-0000415D0000}"/>
    <cellStyle name="Output 4 3 2 4 2" xfId="7064" xr:uid="{00000000-0005-0000-0000-0000425D0000}"/>
    <cellStyle name="Output 4 3 2 4 2 2" xfId="16863" xr:uid="{00000000-0005-0000-0000-0000435D0000}"/>
    <cellStyle name="Output 4 3 2 4 2 2 2" xfId="31695" xr:uid="{00000000-0005-0000-0000-0000445D0000}"/>
    <cellStyle name="Output 4 3 2 4 2 3" xfId="18847" xr:uid="{00000000-0005-0000-0000-0000455D0000}"/>
    <cellStyle name="Output 4 3 2 4 3" xfId="13322" xr:uid="{00000000-0005-0000-0000-0000465D0000}"/>
    <cellStyle name="Output 4 3 2 4 3 2" xfId="28154" xr:uid="{00000000-0005-0000-0000-0000475D0000}"/>
    <cellStyle name="Output 4 3 2 4 4" xfId="10518" xr:uid="{00000000-0005-0000-0000-0000485D0000}"/>
    <cellStyle name="Output 4 3 2 4 4 2" xfId="25350" xr:uid="{00000000-0005-0000-0000-0000495D0000}"/>
    <cellStyle name="Output 4 3 2 5" xfId="6156" xr:uid="{00000000-0005-0000-0000-00004A5D0000}"/>
    <cellStyle name="Output 4 3 2 5 2" xfId="16343" xr:uid="{00000000-0005-0000-0000-00004B5D0000}"/>
    <cellStyle name="Output 4 3 2 5 2 2" xfId="31175" xr:uid="{00000000-0005-0000-0000-00004C5D0000}"/>
    <cellStyle name="Output 4 3 2 5 3" xfId="18488" xr:uid="{00000000-0005-0000-0000-00004D5D0000}"/>
    <cellStyle name="Output 4 3 2 6" xfId="12413" xr:uid="{00000000-0005-0000-0000-00004E5D0000}"/>
    <cellStyle name="Output 4 3 2 6 2" xfId="27245" xr:uid="{00000000-0005-0000-0000-00004F5D0000}"/>
    <cellStyle name="Output 4 3 2 7" xfId="9995" xr:uid="{00000000-0005-0000-0000-0000505D0000}"/>
    <cellStyle name="Output 4 3 2 7 2" xfId="24827" xr:uid="{00000000-0005-0000-0000-0000515D0000}"/>
    <cellStyle name="Output 4 3 3" xfId="3166" xr:uid="{00000000-0005-0000-0000-0000525D0000}"/>
    <cellStyle name="Output 4 3 3 2" xfId="7230" xr:uid="{00000000-0005-0000-0000-0000535D0000}"/>
    <cellStyle name="Output 4 3 3 2 2" xfId="17006" xr:uid="{00000000-0005-0000-0000-0000545D0000}"/>
    <cellStyle name="Output 4 3 3 2 2 2" xfId="31838" xr:uid="{00000000-0005-0000-0000-0000555D0000}"/>
    <cellStyle name="Output 4 3 3 2 3" xfId="18948" xr:uid="{00000000-0005-0000-0000-0000565D0000}"/>
    <cellStyle name="Output 4 3 3 3" xfId="13504" xr:uid="{00000000-0005-0000-0000-0000575D0000}"/>
    <cellStyle name="Output 4 3 3 3 2" xfId="28336" xr:uid="{00000000-0005-0000-0000-0000585D0000}"/>
    <cellStyle name="Output 4 3 3 4" xfId="10657" xr:uid="{00000000-0005-0000-0000-0000595D0000}"/>
    <cellStyle name="Output 4 3 3 4 2" xfId="25489" xr:uid="{00000000-0005-0000-0000-00005A5D0000}"/>
    <cellStyle name="Output 4 3 4" xfId="4574" xr:uid="{00000000-0005-0000-0000-00005B5D0000}"/>
    <cellStyle name="Output 4 3 4 2" xfId="8613" xr:uid="{00000000-0005-0000-0000-00005C5D0000}"/>
    <cellStyle name="Output 4 3 4 2 2" xfId="17731" xr:uid="{00000000-0005-0000-0000-00005D5D0000}"/>
    <cellStyle name="Output 4 3 4 2 2 2" xfId="32563" xr:uid="{00000000-0005-0000-0000-00005E5D0000}"/>
    <cellStyle name="Output 4 3 4 2 3" xfId="19395" xr:uid="{00000000-0005-0000-0000-00005F5D0000}"/>
    <cellStyle name="Output 4 3 4 3" xfId="14901" xr:uid="{00000000-0005-0000-0000-0000605D0000}"/>
    <cellStyle name="Output 4 3 4 3 2" xfId="29733" xr:uid="{00000000-0005-0000-0000-0000615D0000}"/>
    <cellStyle name="Output 4 3 4 4" xfId="11337" xr:uid="{00000000-0005-0000-0000-0000625D0000}"/>
    <cellStyle name="Output 4 3 4 4 2" xfId="26169" xr:uid="{00000000-0005-0000-0000-0000635D0000}"/>
    <cellStyle name="Output 4 3 5" xfId="2564" xr:uid="{00000000-0005-0000-0000-0000645D0000}"/>
    <cellStyle name="Output 4 3 5 2" xfId="6670" xr:uid="{00000000-0005-0000-0000-0000655D0000}"/>
    <cellStyle name="Output 4 3 5 2 2" xfId="16628" xr:uid="{00000000-0005-0000-0000-0000665D0000}"/>
    <cellStyle name="Output 4 3 5 2 2 2" xfId="31460" xr:uid="{00000000-0005-0000-0000-0000675D0000}"/>
    <cellStyle name="Output 4 3 5 2 3" xfId="18683" xr:uid="{00000000-0005-0000-0000-0000685D0000}"/>
    <cellStyle name="Output 4 3 5 3" xfId="12902" xr:uid="{00000000-0005-0000-0000-0000695D0000}"/>
    <cellStyle name="Output 4 3 5 3 2" xfId="27734" xr:uid="{00000000-0005-0000-0000-00006A5D0000}"/>
    <cellStyle name="Output 4 3 5 4" xfId="10278" xr:uid="{00000000-0005-0000-0000-00006B5D0000}"/>
    <cellStyle name="Output 4 3 5 4 2" xfId="25110" xr:uid="{00000000-0005-0000-0000-00006C5D0000}"/>
    <cellStyle name="Output 4 3 6" xfId="5687" xr:uid="{00000000-0005-0000-0000-00006D5D0000}"/>
    <cellStyle name="Output 4 3 6 2" xfId="15922" xr:uid="{00000000-0005-0000-0000-00006E5D0000}"/>
    <cellStyle name="Output 4 3 6 2 2" xfId="30754" xr:uid="{00000000-0005-0000-0000-00006F5D0000}"/>
    <cellStyle name="Output 4 3 6 3" xfId="18325" xr:uid="{00000000-0005-0000-0000-0000705D0000}"/>
    <cellStyle name="Output 4 3 7" xfId="11942" xr:uid="{00000000-0005-0000-0000-0000715D0000}"/>
    <cellStyle name="Output 4 3 7 2" xfId="26774" xr:uid="{00000000-0005-0000-0000-0000725D0000}"/>
    <cellStyle name="Output 4 3 8" xfId="9600" xr:uid="{00000000-0005-0000-0000-0000735D0000}"/>
    <cellStyle name="Output 4 3 8 2" xfId="19902" xr:uid="{00000000-0005-0000-0000-0000745D0000}"/>
    <cellStyle name="Output 4 4" xfId="1584" xr:uid="{00000000-0005-0000-0000-0000755D0000}"/>
    <cellStyle name="Output 4 4 2" xfId="2081" xr:uid="{00000000-0005-0000-0000-0000765D0000}"/>
    <cellStyle name="Output 4 4 2 2" xfId="3411" xr:uid="{00000000-0005-0000-0000-0000775D0000}"/>
    <cellStyle name="Output 4 4 2 2 2" xfId="7474" xr:uid="{00000000-0005-0000-0000-0000785D0000}"/>
    <cellStyle name="Output 4 4 2 2 2 2" xfId="17173" xr:uid="{00000000-0005-0000-0000-0000795D0000}"/>
    <cellStyle name="Output 4 4 2 2 2 2 2" xfId="32005" xr:uid="{00000000-0005-0000-0000-00007A5D0000}"/>
    <cellStyle name="Output 4 4 2 2 2 3" xfId="19023" xr:uid="{00000000-0005-0000-0000-00007B5D0000}"/>
    <cellStyle name="Output 4 4 2 2 3" xfId="13748" xr:uid="{00000000-0005-0000-0000-00007C5D0000}"/>
    <cellStyle name="Output 4 4 2 2 3 2" xfId="28580" xr:uid="{00000000-0005-0000-0000-00007D5D0000}"/>
    <cellStyle name="Output 4 4 2 2 4" xfId="10792" xr:uid="{00000000-0005-0000-0000-00007E5D0000}"/>
    <cellStyle name="Output 4 4 2 2 4 2" xfId="25624" xr:uid="{00000000-0005-0000-0000-00007F5D0000}"/>
    <cellStyle name="Output 4 4 2 3" xfId="5049" xr:uid="{00000000-0005-0000-0000-0000805D0000}"/>
    <cellStyle name="Output 4 4 2 3 2" xfId="9088" xr:uid="{00000000-0005-0000-0000-0000815D0000}"/>
    <cellStyle name="Output 4 4 2 3 2 2" xfId="18021" xr:uid="{00000000-0005-0000-0000-0000825D0000}"/>
    <cellStyle name="Output 4 4 2 3 2 2 2" xfId="32853" xr:uid="{00000000-0005-0000-0000-0000835D0000}"/>
    <cellStyle name="Output 4 4 2 3 2 3" xfId="19587" xr:uid="{00000000-0005-0000-0000-0000845D0000}"/>
    <cellStyle name="Output 4 4 2 3 3" xfId="15370" xr:uid="{00000000-0005-0000-0000-0000855D0000}"/>
    <cellStyle name="Output 4 4 2 3 3 2" xfId="30202" xr:uid="{00000000-0005-0000-0000-0000865D0000}"/>
    <cellStyle name="Output 4 4 2 3 4" xfId="11621" xr:uid="{00000000-0005-0000-0000-0000875D0000}"/>
    <cellStyle name="Output 4 4 2 3 4 2" xfId="26453" xr:uid="{00000000-0005-0000-0000-0000885D0000}"/>
    <cellStyle name="Output 4 4 2 4" xfId="3039" xr:uid="{00000000-0005-0000-0000-0000895D0000}"/>
    <cellStyle name="Output 4 4 2 4 2" xfId="7114" xr:uid="{00000000-0005-0000-0000-00008A5D0000}"/>
    <cellStyle name="Output 4 4 2 4 2 2" xfId="16912" xr:uid="{00000000-0005-0000-0000-00008B5D0000}"/>
    <cellStyle name="Output 4 4 2 4 2 2 2" xfId="31744" xr:uid="{00000000-0005-0000-0000-00008C5D0000}"/>
    <cellStyle name="Output 4 4 2 4 2 3" xfId="18880" xr:uid="{00000000-0005-0000-0000-00008D5D0000}"/>
    <cellStyle name="Output 4 4 2 4 3" xfId="13377" xr:uid="{00000000-0005-0000-0000-00008E5D0000}"/>
    <cellStyle name="Output 4 4 2 4 3 2" xfId="28209" xr:uid="{00000000-0005-0000-0000-00008F5D0000}"/>
    <cellStyle name="Output 4 4 2 4 4" xfId="10568" xr:uid="{00000000-0005-0000-0000-0000905D0000}"/>
    <cellStyle name="Output 4 4 2 4 4 2" xfId="25400" xr:uid="{00000000-0005-0000-0000-0000915D0000}"/>
    <cellStyle name="Output 4 4 2 5" xfId="6206" xr:uid="{00000000-0005-0000-0000-0000925D0000}"/>
    <cellStyle name="Output 4 4 2 5 2" xfId="16392" xr:uid="{00000000-0005-0000-0000-0000935D0000}"/>
    <cellStyle name="Output 4 4 2 5 2 2" xfId="31224" xr:uid="{00000000-0005-0000-0000-0000945D0000}"/>
    <cellStyle name="Output 4 4 2 5 3" xfId="18521" xr:uid="{00000000-0005-0000-0000-0000955D0000}"/>
    <cellStyle name="Output 4 4 2 6" xfId="12462" xr:uid="{00000000-0005-0000-0000-0000965D0000}"/>
    <cellStyle name="Output 4 4 2 6 2" xfId="27294" xr:uid="{00000000-0005-0000-0000-0000975D0000}"/>
    <cellStyle name="Output 4 4 2 7" xfId="10044" xr:uid="{00000000-0005-0000-0000-0000985D0000}"/>
    <cellStyle name="Output 4 4 2 7 2" xfId="24876" xr:uid="{00000000-0005-0000-0000-0000995D0000}"/>
    <cellStyle name="Output 4 4 3" xfId="3581" xr:uid="{00000000-0005-0000-0000-00009A5D0000}"/>
    <cellStyle name="Output 4 4 3 2" xfId="7643" xr:uid="{00000000-0005-0000-0000-00009B5D0000}"/>
    <cellStyle name="Output 4 4 3 2 2" xfId="17267" xr:uid="{00000000-0005-0000-0000-00009C5D0000}"/>
    <cellStyle name="Output 4 4 3 2 2 2" xfId="32099" xr:uid="{00000000-0005-0000-0000-00009D5D0000}"/>
    <cellStyle name="Output 4 4 3 2 3" xfId="19089" xr:uid="{00000000-0005-0000-0000-00009E5D0000}"/>
    <cellStyle name="Output 4 4 3 3" xfId="13917" xr:uid="{00000000-0005-0000-0000-00009F5D0000}"/>
    <cellStyle name="Output 4 4 3 3 2" xfId="28749" xr:uid="{00000000-0005-0000-0000-0000A05D0000}"/>
    <cellStyle name="Output 4 4 3 4" xfId="10884" xr:uid="{00000000-0005-0000-0000-0000A15D0000}"/>
    <cellStyle name="Output 4 4 3 4 2" xfId="25716" xr:uid="{00000000-0005-0000-0000-0000A25D0000}"/>
    <cellStyle name="Output 4 4 4" xfId="4629" xr:uid="{00000000-0005-0000-0000-0000A35D0000}"/>
    <cellStyle name="Output 4 4 4 2" xfId="8668" xr:uid="{00000000-0005-0000-0000-0000A45D0000}"/>
    <cellStyle name="Output 4 4 4 2 2" xfId="17781" xr:uid="{00000000-0005-0000-0000-0000A55D0000}"/>
    <cellStyle name="Output 4 4 4 2 2 2" xfId="32613" xr:uid="{00000000-0005-0000-0000-0000A65D0000}"/>
    <cellStyle name="Output 4 4 4 2 3" xfId="19427" xr:uid="{00000000-0005-0000-0000-0000A75D0000}"/>
    <cellStyle name="Output 4 4 4 3" xfId="14955" xr:uid="{00000000-0005-0000-0000-0000A85D0000}"/>
    <cellStyle name="Output 4 4 4 3 2" xfId="29787" xr:uid="{00000000-0005-0000-0000-0000A95D0000}"/>
    <cellStyle name="Output 4 4 4 4" xfId="11386" xr:uid="{00000000-0005-0000-0000-0000AA5D0000}"/>
    <cellStyle name="Output 4 4 4 4 2" xfId="26218" xr:uid="{00000000-0005-0000-0000-0000AB5D0000}"/>
    <cellStyle name="Output 4 4 5" xfId="2619" xr:uid="{00000000-0005-0000-0000-0000AC5D0000}"/>
    <cellStyle name="Output 4 4 5 2" xfId="6720" xr:uid="{00000000-0005-0000-0000-0000AD5D0000}"/>
    <cellStyle name="Output 4 4 5 2 2" xfId="16677" xr:uid="{00000000-0005-0000-0000-0000AE5D0000}"/>
    <cellStyle name="Output 4 4 5 2 2 2" xfId="31509" xr:uid="{00000000-0005-0000-0000-0000AF5D0000}"/>
    <cellStyle name="Output 4 4 5 2 3" xfId="18716" xr:uid="{00000000-0005-0000-0000-0000B05D0000}"/>
    <cellStyle name="Output 4 4 5 3" xfId="12957" xr:uid="{00000000-0005-0000-0000-0000B15D0000}"/>
    <cellStyle name="Output 4 4 5 3 2" xfId="27789" xr:uid="{00000000-0005-0000-0000-0000B25D0000}"/>
    <cellStyle name="Output 4 4 5 4" xfId="10328" xr:uid="{00000000-0005-0000-0000-0000B35D0000}"/>
    <cellStyle name="Output 4 4 5 4 2" xfId="25160" xr:uid="{00000000-0005-0000-0000-0000B45D0000}"/>
    <cellStyle name="Output 4 4 6" xfId="5736" xr:uid="{00000000-0005-0000-0000-0000B55D0000}"/>
    <cellStyle name="Output 4 4 6 2" xfId="15971" xr:uid="{00000000-0005-0000-0000-0000B65D0000}"/>
    <cellStyle name="Output 4 4 6 2 2" xfId="30803" xr:uid="{00000000-0005-0000-0000-0000B75D0000}"/>
    <cellStyle name="Output 4 4 6 3" xfId="18357" xr:uid="{00000000-0005-0000-0000-0000B85D0000}"/>
    <cellStyle name="Output 4 4 7" xfId="11991" xr:uid="{00000000-0005-0000-0000-0000B95D0000}"/>
    <cellStyle name="Output 4 4 7 2" xfId="26823" xr:uid="{00000000-0005-0000-0000-0000BA5D0000}"/>
    <cellStyle name="Output 4 4 8" xfId="9650" xr:uid="{00000000-0005-0000-0000-0000BB5D0000}"/>
    <cellStyle name="Output 4 4 8 2" xfId="19951" xr:uid="{00000000-0005-0000-0000-0000BC5D0000}"/>
    <cellStyle name="Output 4 5" xfId="1634" xr:uid="{00000000-0005-0000-0000-0000BD5D0000}"/>
    <cellStyle name="Output 4 5 2" xfId="2131" xr:uid="{00000000-0005-0000-0000-0000BE5D0000}"/>
    <cellStyle name="Output 4 5 2 2" xfId="3911" xr:uid="{00000000-0005-0000-0000-0000BF5D0000}"/>
    <cellStyle name="Output 4 5 2 2 2" xfId="7962" xr:uid="{00000000-0005-0000-0000-0000C05D0000}"/>
    <cellStyle name="Output 4 5 2 2 2 2" xfId="17426" xr:uid="{00000000-0005-0000-0000-0000C15D0000}"/>
    <cellStyle name="Output 4 5 2 2 2 2 2" xfId="32258" xr:uid="{00000000-0005-0000-0000-0000C25D0000}"/>
    <cellStyle name="Output 4 5 2 2 2 3" xfId="19199" xr:uid="{00000000-0005-0000-0000-0000C35D0000}"/>
    <cellStyle name="Output 4 5 2 2 3" xfId="14244" xr:uid="{00000000-0005-0000-0000-0000C45D0000}"/>
    <cellStyle name="Output 4 5 2 2 3 2" xfId="29076" xr:uid="{00000000-0005-0000-0000-0000C55D0000}"/>
    <cellStyle name="Output 4 5 2 2 4" xfId="11042" xr:uid="{00000000-0005-0000-0000-0000C65D0000}"/>
    <cellStyle name="Output 4 5 2 2 4 2" xfId="25874" xr:uid="{00000000-0005-0000-0000-0000C75D0000}"/>
    <cellStyle name="Output 4 5 2 3" xfId="5099" xr:uid="{00000000-0005-0000-0000-0000C85D0000}"/>
    <cellStyle name="Output 4 5 2 3 2" xfId="9138" xr:uid="{00000000-0005-0000-0000-0000C95D0000}"/>
    <cellStyle name="Output 4 5 2 3 2 2" xfId="18066" xr:uid="{00000000-0005-0000-0000-0000CA5D0000}"/>
    <cellStyle name="Output 4 5 2 3 2 2 2" xfId="32898" xr:uid="{00000000-0005-0000-0000-0000CB5D0000}"/>
    <cellStyle name="Output 4 5 2 3 2 3" xfId="19619" xr:uid="{00000000-0005-0000-0000-0000CC5D0000}"/>
    <cellStyle name="Output 4 5 2 3 3" xfId="15419" xr:uid="{00000000-0005-0000-0000-0000CD5D0000}"/>
    <cellStyle name="Output 4 5 2 3 3 2" xfId="30251" xr:uid="{00000000-0005-0000-0000-0000CE5D0000}"/>
    <cellStyle name="Output 4 5 2 3 4" xfId="11665" xr:uid="{00000000-0005-0000-0000-0000CF5D0000}"/>
    <cellStyle name="Output 4 5 2 3 4 2" xfId="26497" xr:uid="{00000000-0005-0000-0000-0000D05D0000}"/>
    <cellStyle name="Output 4 5 2 4" xfId="3089" xr:uid="{00000000-0005-0000-0000-0000D15D0000}"/>
    <cellStyle name="Output 4 5 2 4 2" xfId="7159" xr:uid="{00000000-0005-0000-0000-0000D25D0000}"/>
    <cellStyle name="Output 4 5 2 4 2 2" xfId="16956" xr:uid="{00000000-0005-0000-0000-0000D35D0000}"/>
    <cellStyle name="Output 4 5 2 4 2 2 2" xfId="31788" xr:uid="{00000000-0005-0000-0000-0000D45D0000}"/>
    <cellStyle name="Output 4 5 2 4 2 3" xfId="18913" xr:uid="{00000000-0005-0000-0000-0000D55D0000}"/>
    <cellStyle name="Output 4 5 2 4 3" xfId="13427" xr:uid="{00000000-0005-0000-0000-0000D65D0000}"/>
    <cellStyle name="Output 4 5 2 4 3 2" xfId="28259" xr:uid="{00000000-0005-0000-0000-0000D75D0000}"/>
    <cellStyle name="Output 4 5 2 4 4" xfId="10613" xr:uid="{00000000-0005-0000-0000-0000D85D0000}"/>
    <cellStyle name="Output 4 5 2 4 4 2" xfId="25445" xr:uid="{00000000-0005-0000-0000-0000D95D0000}"/>
    <cellStyle name="Output 4 5 2 5" xfId="6251" xr:uid="{00000000-0005-0000-0000-0000DA5D0000}"/>
    <cellStyle name="Output 4 5 2 5 2" xfId="16436" xr:uid="{00000000-0005-0000-0000-0000DB5D0000}"/>
    <cellStyle name="Output 4 5 2 5 2 2" xfId="31268" xr:uid="{00000000-0005-0000-0000-0000DC5D0000}"/>
    <cellStyle name="Output 4 5 2 5 3" xfId="18554" xr:uid="{00000000-0005-0000-0000-0000DD5D0000}"/>
    <cellStyle name="Output 4 5 2 6" xfId="12506" xr:uid="{00000000-0005-0000-0000-0000DE5D0000}"/>
    <cellStyle name="Output 4 5 2 6 2" xfId="27338" xr:uid="{00000000-0005-0000-0000-0000DF5D0000}"/>
    <cellStyle name="Output 4 5 2 7" xfId="10088" xr:uid="{00000000-0005-0000-0000-0000E05D0000}"/>
    <cellStyle name="Output 4 5 2 7 2" xfId="24920" xr:uid="{00000000-0005-0000-0000-0000E15D0000}"/>
    <cellStyle name="Output 4 5 3" xfId="3933" xr:uid="{00000000-0005-0000-0000-0000E25D0000}"/>
    <cellStyle name="Output 4 5 3 2" xfId="7983" xr:uid="{00000000-0005-0000-0000-0000E35D0000}"/>
    <cellStyle name="Output 4 5 3 2 2" xfId="17438" xr:uid="{00000000-0005-0000-0000-0000E45D0000}"/>
    <cellStyle name="Output 4 5 3 2 2 2" xfId="32270" xr:uid="{00000000-0005-0000-0000-0000E55D0000}"/>
    <cellStyle name="Output 4 5 3 2 3" xfId="19207" xr:uid="{00000000-0005-0000-0000-0000E65D0000}"/>
    <cellStyle name="Output 4 5 3 3" xfId="14266" xr:uid="{00000000-0005-0000-0000-0000E75D0000}"/>
    <cellStyle name="Output 4 5 3 3 2" xfId="29098" xr:uid="{00000000-0005-0000-0000-0000E85D0000}"/>
    <cellStyle name="Output 4 5 3 4" xfId="11053" xr:uid="{00000000-0005-0000-0000-0000E95D0000}"/>
    <cellStyle name="Output 4 5 3 4 2" xfId="25885" xr:uid="{00000000-0005-0000-0000-0000EA5D0000}"/>
    <cellStyle name="Output 4 5 4" xfId="4679" xr:uid="{00000000-0005-0000-0000-0000EB5D0000}"/>
    <cellStyle name="Output 4 5 4 2" xfId="8718" xr:uid="{00000000-0005-0000-0000-0000EC5D0000}"/>
    <cellStyle name="Output 4 5 4 2 2" xfId="17826" xr:uid="{00000000-0005-0000-0000-0000ED5D0000}"/>
    <cellStyle name="Output 4 5 4 2 2 2" xfId="32658" xr:uid="{00000000-0005-0000-0000-0000EE5D0000}"/>
    <cellStyle name="Output 4 5 4 2 3" xfId="19459" xr:uid="{00000000-0005-0000-0000-0000EF5D0000}"/>
    <cellStyle name="Output 4 5 4 3" xfId="15004" xr:uid="{00000000-0005-0000-0000-0000F05D0000}"/>
    <cellStyle name="Output 4 5 4 3 2" xfId="29836" xr:uid="{00000000-0005-0000-0000-0000F15D0000}"/>
    <cellStyle name="Output 4 5 4 4" xfId="11430" xr:uid="{00000000-0005-0000-0000-0000F25D0000}"/>
    <cellStyle name="Output 4 5 4 4 2" xfId="26262" xr:uid="{00000000-0005-0000-0000-0000F35D0000}"/>
    <cellStyle name="Output 4 5 5" xfId="2669" xr:uid="{00000000-0005-0000-0000-0000F45D0000}"/>
    <cellStyle name="Output 4 5 5 2" xfId="6765" xr:uid="{00000000-0005-0000-0000-0000F55D0000}"/>
    <cellStyle name="Output 4 5 5 2 2" xfId="16721" xr:uid="{00000000-0005-0000-0000-0000F65D0000}"/>
    <cellStyle name="Output 4 5 5 2 2 2" xfId="31553" xr:uid="{00000000-0005-0000-0000-0000F75D0000}"/>
    <cellStyle name="Output 4 5 5 2 3" xfId="18749" xr:uid="{00000000-0005-0000-0000-0000F85D0000}"/>
    <cellStyle name="Output 4 5 5 3" xfId="13007" xr:uid="{00000000-0005-0000-0000-0000F95D0000}"/>
    <cellStyle name="Output 4 5 5 3 2" xfId="27839" xr:uid="{00000000-0005-0000-0000-0000FA5D0000}"/>
    <cellStyle name="Output 4 5 5 4" xfId="10373" xr:uid="{00000000-0005-0000-0000-0000FB5D0000}"/>
    <cellStyle name="Output 4 5 5 4 2" xfId="25205" xr:uid="{00000000-0005-0000-0000-0000FC5D0000}"/>
    <cellStyle name="Output 4 5 6" xfId="5781" xr:uid="{00000000-0005-0000-0000-0000FD5D0000}"/>
    <cellStyle name="Output 4 5 6 2" xfId="16015" xr:uid="{00000000-0005-0000-0000-0000FE5D0000}"/>
    <cellStyle name="Output 4 5 6 2 2" xfId="30847" xr:uid="{00000000-0005-0000-0000-0000FF5D0000}"/>
    <cellStyle name="Output 4 5 6 3" xfId="18390" xr:uid="{00000000-0005-0000-0000-0000005E0000}"/>
    <cellStyle name="Output 4 5 7" xfId="12035" xr:uid="{00000000-0005-0000-0000-0000015E0000}"/>
    <cellStyle name="Output 4 5 7 2" xfId="26867" xr:uid="{00000000-0005-0000-0000-0000025E0000}"/>
    <cellStyle name="Output 4 5 8" xfId="9695" xr:uid="{00000000-0005-0000-0000-0000035E0000}"/>
    <cellStyle name="Output 4 5 8 2" xfId="19995" xr:uid="{00000000-0005-0000-0000-0000045E0000}"/>
    <cellStyle name="Output 4 6" xfId="1785" xr:uid="{00000000-0005-0000-0000-0000055E0000}"/>
    <cellStyle name="Output 4 6 2" xfId="3512" xr:uid="{00000000-0005-0000-0000-0000065E0000}"/>
    <cellStyle name="Output 4 6 2 2" xfId="7574" xr:uid="{00000000-0005-0000-0000-0000075E0000}"/>
    <cellStyle name="Output 4 6 2 2 2" xfId="17229" xr:uid="{00000000-0005-0000-0000-0000085E0000}"/>
    <cellStyle name="Output 4 6 2 2 2 2" xfId="32061" xr:uid="{00000000-0005-0000-0000-0000095E0000}"/>
    <cellStyle name="Output 4 6 2 2 3" xfId="19059" xr:uid="{00000000-0005-0000-0000-00000A5E0000}"/>
    <cellStyle name="Output 4 6 2 3" xfId="13849" xr:uid="{00000000-0005-0000-0000-00000B5E0000}"/>
    <cellStyle name="Output 4 6 2 3 2" xfId="28681" xr:uid="{00000000-0005-0000-0000-00000C5E0000}"/>
    <cellStyle name="Output 4 6 2 4" xfId="10847" xr:uid="{00000000-0005-0000-0000-00000D5E0000}"/>
    <cellStyle name="Output 4 6 2 4 2" xfId="25679" xr:uid="{00000000-0005-0000-0000-00000E5E0000}"/>
    <cellStyle name="Output 4 6 3" xfId="4763" xr:uid="{00000000-0005-0000-0000-00000F5E0000}"/>
    <cellStyle name="Output 4 6 3 2" xfId="8802" xr:uid="{00000000-0005-0000-0000-0000105E0000}"/>
    <cellStyle name="Output 4 6 3 2 2" xfId="17874" xr:uid="{00000000-0005-0000-0000-0000115E0000}"/>
    <cellStyle name="Output 4 6 3 2 2 2" xfId="32706" xr:uid="{00000000-0005-0000-0000-0000125E0000}"/>
    <cellStyle name="Output 4 6 3 2 3" xfId="19491" xr:uid="{00000000-0005-0000-0000-0000135E0000}"/>
    <cellStyle name="Output 4 6 3 3" xfId="15087" xr:uid="{00000000-0005-0000-0000-0000145E0000}"/>
    <cellStyle name="Output 4 6 3 3 2" xfId="29919" xr:uid="{00000000-0005-0000-0000-0000155E0000}"/>
    <cellStyle name="Output 4 6 3 4" xfId="11477" xr:uid="{00000000-0005-0000-0000-0000165E0000}"/>
    <cellStyle name="Output 4 6 3 4 2" xfId="26309" xr:uid="{00000000-0005-0000-0000-0000175E0000}"/>
    <cellStyle name="Output 4 6 4" xfId="2753" xr:uid="{00000000-0005-0000-0000-0000185E0000}"/>
    <cellStyle name="Output 4 6 4 2" xfId="6844" xr:uid="{00000000-0005-0000-0000-0000195E0000}"/>
    <cellStyle name="Output 4 6 4 2 2" xfId="16768" xr:uid="{00000000-0005-0000-0000-00001A5E0000}"/>
    <cellStyle name="Output 4 6 4 2 2 2" xfId="31600" xr:uid="{00000000-0005-0000-0000-00001B5E0000}"/>
    <cellStyle name="Output 4 6 4 2 3" xfId="18782" xr:uid="{00000000-0005-0000-0000-00001C5E0000}"/>
    <cellStyle name="Output 4 6 4 3" xfId="13091" xr:uid="{00000000-0005-0000-0000-00001D5E0000}"/>
    <cellStyle name="Output 4 6 4 3 2" xfId="27923" xr:uid="{00000000-0005-0000-0000-00001E5E0000}"/>
    <cellStyle name="Output 4 6 4 4" xfId="10421" xr:uid="{00000000-0005-0000-0000-00001F5E0000}"/>
    <cellStyle name="Output 4 6 4 4 2" xfId="25253" xr:uid="{00000000-0005-0000-0000-0000205E0000}"/>
    <cellStyle name="Output 4 6 5" xfId="5917" xr:uid="{00000000-0005-0000-0000-0000215E0000}"/>
    <cellStyle name="Output 4 6 5 2" xfId="16109" xr:uid="{00000000-0005-0000-0000-0000225E0000}"/>
    <cellStyle name="Output 4 6 5 2 2" xfId="30941" xr:uid="{00000000-0005-0000-0000-0000235E0000}"/>
    <cellStyle name="Output 4 6 5 3" xfId="18424" xr:uid="{00000000-0005-0000-0000-0000245E0000}"/>
    <cellStyle name="Output 4 6 6" xfId="12179" xr:uid="{00000000-0005-0000-0000-0000255E0000}"/>
    <cellStyle name="Output 4 6 6 2" xfId="27011" xr:uid="{00000000-0005-0000-0000-0000265E0000}"/>
    <cellStyle name="Output 4 6 7" xfId="9775" xr:uid="{00000000-0005-0000-0000-0000275E0000}"/>
    <cellStyle name="Output 4 6 7 2" xfId="24732" xr:uid="{00000000-0005-0000-0000-0000285E0000}"/>
    <cellStyle name="Output 4 7" xfId="2181" xr:uid="{00000000-0005-0000-0000-0000295E0000}"/>
    <cellStyle name="Output 4 7 2" xfId="3497" xr:uid="{00000000-0005-0000-0000-00002A5E0000}"/>
    <cellStyle name="Output 4 7 2 2" xfId="7559" xr:uid="{00000000-0005-0000-0000-00002B5E0000}"/>
    <cellStyle name="Output 4 7 2 2 2" xfId="17220" xr:uid="{00000000-0005-0000-0000-00002C5E0000}"/>
    <cellStyle name="Output 4 7 2 2 2 2" xfId="32052" xr:uid="{00000000-0005-0000-0000-00002D5E0000}"/>
    <cellStyle name="Output 4 7 2 2 3" xfId="19056" xr:uid="{00000000-0005-0000-0000-00002E5E0000}"/>
    <cellStyle name="Output 4 7 2 3" xfId="13834" xr:uid="{00000000-0005-0000-0000-00002F5E0000}"/>
    <cellStyle name="Output 4 7 2 3 2" xfId="28666" xr:uid="{00000000-0005-0000-0000-0000305E0000}"/>
    <cellStyle name="Output 4 7 2 4" xfId="10838" xr:uid="{00000000-0005-0000-0000-0000315E0000}"/>
    <cellStyle name="Output 4 7 2 4 2" xfId="25670" xr:uid="{00000000-0005-0000-0000-0000325E0000}"/>
    <cellStyle name="Output 4 7 3" xfId="5149" xr:uid="{00000000-0005-0000-0000-0000335E0000}"/>
    <cellStyle name="Output 4 7 3 2" xfId="9188" xr:uid="{00000000-0005-0000-0000-0000345E0000}"/>
    <cellStyle name="Output 4 7 3 2 2" xfId="18111" xr:uid="{00000000-0005-0000-0000-0000355E0000}"/>
    <cellStyle name="Output 4 7 3 2 2 2" xfId="32943" xr:uid="{00000000-0005-0000-0000-0000365E0000}"/>
    <cellStyle name="Output 4 7 3 2 3" xfId="19662" xr:uid="{00000000-0005-0000-0000-0000375E0000}"/>
    <cellStyle name="Output 4 7 3 3" xfId="15467" xr:uid="{00000000-0005-0000-0000-0000385E0000}"/>
    <cellStyle name="Output 4 7 3 3 2" xfId="30299" xr:uid="{00000000-0005-0000-0000-0000395E0000}"/>
    <cellStyle name="Output 4 7 3 4" xfId="11708" xr:uid="{00000000-0005-0000-0000-00003A5E0000}"/>
    <cellStyle name="Output 4 7 3 4 2" xfId="26540" xr:uid="{00000000-0005-0000-0000-00003B5E0000}"/>
    <cellStyle name="Output 4 7 4" xfId="4179" xr:uid="{00000000-0005-0000-0000-00003C5E0000}"/>
    <cellStyle name="Output 4 7 4 2" xfId="8220" xr:uid="{00000000-0005-0000-0000-00003D5E0000}"/>
    <cellStyle name="Output 4 7 4 2 2" xfId="17567" xr:uid="{00000000-0005-0000-0000-00003E5E0000}"/>
    <cellStyle name="Output 4 7 4 2 2 2" xfId="32399" xr:uid="{00000000-0005-0000-0000-00003F5E0000}"/>
    <cellStyle name="Output 4 7 4 2 3" xfId="19305" xr:uid="{00000000-0005-0000-0000-0000405E0000}"/>
    <cellStyle name="Output 4 7 4 3" xfId="14511" xr:uid="{00000000-0005-0000-0000-0000415E0000}"/>
    <cellStyle name="Output 4 7 4 3 2" xfId="29343" xr:uid="{00000000-0005-0000-0000-0000425E0000}"/>
    <cellStyle name="Output 4 7 4 4" xfId="11187" xr:uid="{00000000-0005-0000-0000-0000435E0000}"/>
    <cellStyle name="Output 4 7 4 4 2" xfId="26019" xr:uid="{00000000-0005-0000-0000-0000445E0000}"/>
    <cellStyle name="Output 4 7 5" xfId="6295" xr:uid="{00000000-0005-0000-0000-0000455E0000}"/>
    <cellStyle name="Output 4 7 5 2" xfId="16479" xr:uid="{00000000-0005-0000-0000-0000465E0000}"/>
    <cellStyle name="Output 4 7 5 2 2" xfId="31311" xr:uid="{00000000-0005-0000-0000-0000475E0000}"/>
    <cellStyle name="Output 4 7 5 3" xfId="18598" xr:uid="{00000000-0005-0000-0000-0000485E0000}"/>
    <cellStyle name="Output 4 7 6" xfId="12549" xr:uid="{00000000-0005-0000-0000-0000495E0000}"/>
    <cellStyle name="Output 4 7 6 2" xfId="27381" xr:uid="{00000000-0005-0000-0000-00004A5E0000}"/>
    <cellStyle name="Output 4 7 7" xfId="10131" xr:uid="{00000000-0005-0000-0000-00004B5E0000}"/>
    <cellStyle name="Output 4 7 7 2" xfId="24963" xr:uid="{00000000-0005-0000-0000-00004C5E0000}"/>
    <cellStyle name="Output 4 8" xfId="3946" xr:uid="{00000000-0005-0000-0000-00004D5E0000}"/>
    <cellStyle name="Output 4 8 2" xfId="7996" xr:uid="{00000000-0005-0000-0000-00004E5E0000}"/>
    <cellStyle name="Output 4 8 2 2" xfId="17443" xr:uid="{00000000-0005-0000-0000-00004F5E0000}"/>
    <cellStyle name="Output 4 8 2 2 2" xfId="32275" xr:uid="{00000000-0005-0000-0000-0000505E0000}"/>
    <cellStyle name="Output 4 8 2 3" xfId="19210" xr:uid="{00000000-0005-0000-0000-0000515E0000}"/>
    <cellStyle name="Output 4 8 3" xfId="14279" xr:uid="{00000000-0005-0000-0000-0000525E0000}"/>
    <cellStyle name="Output 4 8 3 2" xfId="29111" xr:uid="{00000000-0005-0000-0000-0000535E0000}"/>
    <cellStyle name="Output 4 8 4" xfId="11058" xr:uid="{00000000-0005-0000-0000-0000545E0000}"/>
    <cellStyle name="Output 4 8 4 2" xfId="25890" xr:uid="{00000000-0005-0000-0000-0000555E0000}"/>
    <cellStyle name="Output 4 9" xfId="3336" xr:uid="{00000000-0005-0000-0000-0000565E0000}"/>
    <cellStyle name="Output 4 9 2" xfId="7399" xr:uid="{00000000-0005-0000-0000-0000575E0000}"/>
    <cellStyle name="Output 4 9 2 2" xfId="17132" xr:uid="{00000000-0005-0000-0000-0000585E0000}"/>
    <cellStyle name="Output 4 9 2 2 2" xfId="31964" xr:uid="{00000000-0005-0000-0000-0000595E0000}"/>
    <cellStyle name="Output 4 9 2 3" xfId="19005" xr:uid="{00000000-0005-0000-0000-00005A5E0000}"/>
    <cellStyle name="Output 4 9 3" xfId="13673" xr:uid="{00000000-0005-0000-0000-00005B5E0000}"/>
    <cellStyle name="Output 4 9 3 2" xfId="28505" xr:uid="{00000000-0005-0000-0000-00005C5E0000}"/>
    <cellStyle name="Output 4 9 4" xfId="10753" xr:uid="{00000000-0005-0000-0000-00005D5E0000}"/>
    <cellStyle name="Output 4 9 4 2" xfId="25585" xr:uid="{00000000-0005-0000-0000-00005E5E0000}"/>
    <cellStyle name="Output 5" xfId="1241" xr:uid="{00000000-0005-0000-0000-00005F5E0000}"/>
    <cellStyle name="Output 5 10" xfId="2327" xr:uid="{00000000-0005-0000-0000-0000605E0000}"/>
    <cellStyle name="Output 5 10 2" xfId="6439" xr:uid="{00000000-0005-0000-0000-0000615E0000}"/>
    <cellStyle name="Output 5 10 2 2" xfId="16532" xr:uid="{00000000-0005-0000-0000-0000625E0000}"/>
    <cellStyle name="Output 5 10 2 2 2" xfId="31364" xr:uid="{00000000-0005-0000-0000-0000635E0000}"/>
    <cellStyle name="Output 5 10 2 3" xfId="18620" xr:uid="{00000000-0005-0000-0000-0000645E0000}"/>
    <cellStyle name="Output 5 10 3" xfId="12667" xr:uid="{00000000-0005-0000-0000-0000655E0000}"/>
    <cellStyle name="Output 5 10 3 2" xfId="27499" xr:uid="{00000000-0005-0000-0000-0000665E0000}"/>
    <cellStyle name="Output 5 10 4" xfId="10183" xr:uid="{00000000-0005-0000-0000-0000675E0000}"/>
    <cellStyle name="Output 5 10 4 2" xfId="25015" xr:uid="{00000000-0005-0000-0000-0000685E0000}"/>
    <cellStyle name="Output 5 11" xfId="5290" xr:uid="{00000000-0005-0000-0000-0000695E0000}"/>
    <cellStyle name="Output 5 11 2" xfId="9298" xr:uid="{00000000-0005-0000-0000-00006A5E0000}"/>
    <cellStyle name="Output 5 11 2 2" xfId="18165" xr:uid="{00000000-0005-0000-0000-00006B5E0000}"/>
    <cellStyle name="Output 5 11 2 2 2" xfId="32997" xr:uid="{00000000-0005-0000-0000-00006C5E0000}"/>
    <cellStyle name="Output 5 11 2 3" xfId="19684" xr:uid="{00000000-0005-0000-0000-00006D5E0000}"/>
    <cellStyle name="Output 5 11 3" xfId="15606" xr:uid="{00000000-0005-0000-0000-00006E5E0000}"/>
    <cellStyle name="Output 5 11 3 2" xfId="30438" xr:uid="{00000000-0005-0000-0000-00006F5E0000}"/>
    <cellStyle name="Output 5 12" xfId="5448" xr:uid="{00000000-0005-0000-0000-0000705E0000}"/>
    <cellStyle name="Output 5 12 2" xfId="15684" xr:uid="{00000000-0005-0000-0000-0000715E0000}"/>
    <cellStyle name="Output 5 12 2 2" xfId="30516" xr:uid="{00000000-0005-0000-0000-0000725E0000}"/>
    <cellStyle name="Output 5 12 3" xfId="18261" xr:uid="{00000000-0005-0000-0000-0000735E0000}"/>
    <cellStyle name="Output 5 13" xfId="9343" xr:uid="{00000000-0005-0000-0000-0000745E0000}"/>
    <cellStyle name="Output 5 13 2" xfId="24649" xr:uid="{00000000-0005-0000-0000-0000755E0000}"/>
    <cellStyle name="Output 5 14" xfId="5332" xr:uid="{00000000-0005-0000-0000-0000765E0000}"/>
    <cellStyle name="Output 5 14 2" xfId="18206" xr:uid="{00000000-0005-0000-0000-0000775E0000}"/>
    <cellStyle name="Output 5 2" xfId="1360" xr:uid="{00000000-0005-0000-0000-0000785E0000}"/>
    <cellStyle name="Output 5 2 2" xfId="1864" xr:uid="{00000000-0005-0000-0000-0000795E0000}"/>
    <cellStyle name="Output 5 2 2 2" xfId="3381" xr:uid="{00000000-0005-0000-0000-00007A5E0000}"/>
    <cellStyle name="Output 5 2 2 2 2" xfId="7444" xr:uid="{00000000-0005-0000-0000-00007B5E0000}"/>
    <cellStyle name="Output 5 2 2 2 2 2" xfId="17151" xr:uid="{00000000-0005-0000-0000-00007C5E0000}"/>
    <cellStyle name="Output 5 2 2 2 2 2 2" xfId="31983" xr:uid="{00000000-0005-0000-0000-00007D5E0000}"/>
    <cellStyle name="Output 5 2 2 2 2 3" xfId="19017" xr:uid="{00000000-0005-0000-0000-00007E5E0000}"/>
    <cellStyle name="Output 5 2 2 2 3" xfId="13718" xr:uid="{00000000-0005-0000-0000-00007F5E0000}"/>
    <cellStyle name="Output 5 2 2 2 3 2" xfId="28550" xr:uid="{00000000-0005-0000-0000-0000805E0000}"/>
    <cellStyle name="Output 5 2 2 2 4" xfId="10770" xr:uid="{00000000-0005-0000-0000-0000815E0000}"/>
    <cellStyle name="Output 5 2 2 2 4 2" xfId="25602" xr:uid="{00000000-0005-0000-0000-0000825E0000}"/>
    <cellStyle name="Output 5 2 2 3" xfId="4842" xr:uid="{00000000-0005-0000-0000-0000835E0000}"/>
    <cellStyle name="Output 5 2 2 3 2" xfId="8881" xr:uid="{00000000-0005-0000-0000-0000845E0000}"/>
    <cellStyle name="Output 5 2 2 3 2 2" xfId="17922" xr:uid="{00000000-0005-0000-0000-0000855E0000}"/>
    <cellStyle name="Output 5 2 2 3 2 2 2" xfId="32754" xr:uid="{00000000-0005-0000-0000-0000865E0000}"/>
    <cellStyle name="Output 5 2 2 3 2 3" xfId="19524" xr:uid="{00000000-0005-0000-0000-0000875E0000}"/>
    <cellStyle name="Output 5 2 2 3 3" xfId="15166" xr:uid="{00000000-0005-0000-0000-0000885E0000}"/>
    <cellStyle name="Output 5 2 2 3 3 2" xfId="29998" xr:uid="{00000000-0005-0000-0000-0000895E0000}"/>
    <cellStyle name="Output 5 2 2 3 4" xfId="11525" xr:uid="{00000000-0005-0000-0000-00008A5E0000}"/>
    <cellStyle name="Output 5 2 2 3 4 2" xfId="26357" xr:uid="{00000000-0005-0000-0000-00008B5E0000}"/>
    <cellStyle name="Output 5 2 2 4" xfId="2832" xr:uid="{00000000-0005-0000-0000-00008C5E0000}"/>
    <cellStyle name="Output 5 2 2 4 2" xfId="6923" xr:uid="{00000000-0005-0000-0000-00008D5E0000}"/>
    <cellStyle name="Output 5 2 2 4 2 2" xfId="16816" xr:uid="{00000000-0005-0000-0000-00008E5E0000}"/>
    <cellStyle name="Output 5 2 2 4 2 2 2" xfId="31648" xr:uid="{00000000-0005-0000-0000-00008F5E0000}"/>
    <cellStyle name="Output 5 2 2 4 2 3" xfId="18815" xr:uid="{00000000-0005-0000-0000-0000905E0000}"/>
    <cellStyle name="Output 5 2 2 4 3" xfId="13170" xr:uid="{00000000-0005-0000-0000-0000915E0000}"/>
    <cellStyle name="Output 5 2 2 4 3 2" xfId="28002" xr:uid="{00000000-0005-0000-0000-0000925E0000}"/>
    <cellStyle name="Output 5 2 2 4 4" xfId="10469" xr:uid="{00000000-0005-0000-0000-0000935E0000}"/>
    <cellStyle name="Output 5 2 2 4 4 2" xfId="25301" xr:uid="{00000000-0005-0000-0000-0000945E0000}"/>
    <cellStyle name="Output 5 2 2 5" xfId="5996" xr:uid="{00000000-0005-0000-0000-0000955E0000}"/>
    <cellStyle name="Output 5 2 2 5 2" xfId="16188" xr:uid="{00000000-0005-0000-0000-0000965E0000}"/>
    <cellStyle name="Output 5 2 2 5 2 2" xfId="31020" xr:uid="{00000000-0005-0000-0000-0000975E0000}"/>
    <cellStyle name="Output 5 2 2 5 3" xfId="18457" xr:uid="{00000000-0005-0000-0000-0000985E0000}"/>
    <cellStyle name="Output 5 2 2 6" xfId="12258" xr:uid="{00000000-0005-0000-0000-0000995E0000}"/>
    <cellStyle name="Output 5 2 2 6 2" xfId="27090" xr:uid="{00000000-0005-0000-0000-00009A5E0000}"/>
    <cellStyle name="Output 5 2 2 7" xfId="9854" xr:uid="{00000000-0005-0000-0000-00009B5E0000}"/>
    <cellStyle name="Output 5 2 2 7 2" xfId="24780" xr:uid="{00000000-0005-0000-0000-00009C5E0000}"/>
    <cellStyle name="Output 5 2 3" xfId="3301" xr:uid="{00000000-0005-0000-0000-00009D5E0000}"/>
    <cellStyle name="Output 5 2 3 2" xfId="7365" xr:uid="{00000000-0005-0000-0000-00009E5E0000}"/>
    <cellStyle name="Output 5 2 3 2 2" xfId="17104" xr:uid="{00000000-0005-0000-0000-00009F5E0000}"/>
    <cellStyle name="Output 5 2 3 2 2 2" xfId="31936" xr:uid="{00000000-0005-0000-0000-0000A05E0000}"/>
    <cellStyle name="Output 5 2 3 2 3" xfId="18988" xr:uid="{00000000-0005-0000-0000-0000A15E0000}"/>
    <cellStyle name="Output 5 2 3 3" xfId="13638" xr:uid="{00000000-0005-0000-0000-0000A25E0000}"/>
    <cellStyle name="Output 5 2 3 3 2" xfId="28470" xr:uid="{00000000-0005-0000-0000-0000A35E0000}"/>
    <cellStyle name="Output 5 2 3 4" xfId="10728" xr:uid="{00000000-0005-0000-0000-0000A45E0000}"/>
    <cellStyle name="Output 5 2 3 4 2" xfId="25560" xr:uid="{00000000-0005-0000-0000-0000A55E0000}"/>
    <cellStyle name="Output 5 2 4" xfId="4422" xr:uid="{00000000-0005-0000-0000-0000A65E0000}"/>
    <cellStyle name="Output 5 2 4 2" xfId="8461" xr:uid="{00000000-0005-0000-0000-0000A75E0000}"/>
    <cellStyle name="Output 5 2 4 2 2" xfId="17682" xr:uid="{00000000-0005-0000-0000-0000A85E0000}"/>
    <cellStyle name="Output 5 2 4 2 2 2" xfId="32514" xr:uid="{00000000-0005-0000-0000-0000A95E0000}"/>
    <cellStyle name="Output 5 2 4 2 3" xfId="19364" xr:uid="{00000000-0005-0000-0000-0000AA5E0000}"/>
    <cellStyle name="Output 5 2 4 3" xfId="14751" xr:uid="{00000000-0005-0000-0000-0000AB5E0000}"/>
    <cellStyle name="Output 5 2 4 3 2" xfId="29583" xr:uid="{00000000-0005-0000-0000-0000AC5E0000}"/>
    <cellStyle name="Output 5 2 4 4" xfId="11290" xr:uid="{00000000-0005-0000-0000-0000AD5E0000}"/>
    <cellStyle name="Output 5 2 4 4 2" xfId="26122" xr:uid="{00000000-0005-0000-0000-0000AE5E0000}"/>
    <cellStyle name="Output 5 2 5" xfId="2412" xr:uid="{00000000-0005-0000-0000-0000AF5E0000}"/>
    <cellStyle name="Output 5 2 5 2" xfId="6524" xr:uid="{00000000-0005-0000-0000-0000B05E0000}"/>
    <cellStyle name="Output 5 2 5 2 2" xfId="16580" xr:uid="{00000000-0005-0000-0000-0000B15E0000}"/>
    <cellStyle name="Output 5 2 5 2 2 2" xfId="31412" xr:uid="{00000000-0005-0000-0000-0000B25E0000}"/>
    <cellStyle name="Output 5 2 5 2 3" xfId="18652" xr:uid="{00000000-0005-0000-0000-0000B35E0000}"/>
    <cellStyle name="Output 5 2 5 3" xfId="12751" xr:uid="{00000000-0005-0000-0000-0000B45E0000}"/>
    <cellStyle name="Output 5 2 5 3 2" xfId="27583" xr:uid="{00000000-0005-0000-0000-0000B55E0000}"/>
    <cellStyle name="Output 5 2 5 4" xfId="10230" xr:uid="{00000000-0005-0000-0000-0000B65E0000}"/>
    <cellStyle name="Output 5 2 5 4 2" xfId="25062" xr:uid="{00000000-0005-0000-0000-0000B75E0000}"/>
    <cellStyle name="Output 5 2 6" xfId="5537" xr:uid="{00000000-0005-0000-0000-0000B85E0000}"/>
    <cellStyle name="Output 5 2 6 2" xfId="15772" xr:uid="{00000000-0005-0000-0000-0000B95E0000}"/>
    <cellStyle name="Output 5 2 6 2 2" xfId="30604" xr:uid="{00000000-0005-0000-0000-0000BA5E0000}"/>
    <cellStyle name="Output 5 2 6 3" xfId="18294" xr:uid="{00000000-0005-0000-0000-0000BB5E0000}"/>
    <cellStyle name="Output 5 2 7" xfId="11787" xr:uid="{00000000-0005-0000-0000-0000BC5E0000}"/>
    <cellStyle name="Output 5 2 7 2" xfId="26619" xr:uid="{00000000-0005-0000-0000-0000BD5E0000}"/>
    <cellStyle name="Output 5 2 8" xfId="9458" xr:uid="{00000000-0005-0000-0000-0000BE5E0000}"/>
    <cellStyle name="Output 5 2 8 2" xfId="19762" xr:uid="{00000000-0005-0000-0000-0000BF5E0000}"/>
    <cellStyle name="Output 5 3" xfId="1530" xr:uid="{00000000-0005-0000-0000-0000C05E0000}"/>
    <cellStyle name="Output 5 3 2" xfId="2027" xr:uid="{00000000-0005-0000-0000-0000C15E0000}"/>
    <cellStyle name="Output 5 3 2 2" xfId="3529" xr:uid="{00000000-0005-0000-0000-0000C25E0000}"/>
    <cellStyle name="Output 5 3 2 2 2" xfId="7591" xr:uid="{00000000-0005-0000-0000-0000C35E0000}"/>
    <cellStyle name="Output 5 3 2 2 2 2" xfId="17236" xr:uid="{00000000-0005-0000-0000-0000C45E0000}"/>
    <cellStyle name="Output 5 3 2 2 2 2 2" xfId="32068" xr:uid="{00000000-0005-0000-0000-0000C55E0000}"/>
    <cellStyle name="Output 5 3 2 2 2 3" xfId="19064" xr:uid="{00000000-0005-0000-0000-0000C65E0000}"/>
    <cellStyle name="Output 5 3 2 2 3" xfId="13866" xr:uid="{00000000-0005-0000-0000-0000C75E0000}"/>
    <cellStyle name="Output 5 3 2 2 3 2" xfId="28698" xr:uid="{00000000-0005-0000-0000-0000C85E0000}"/>
    <cellStyle name="Output 5 3 2 2 4" xfId="10854" xr:uid="{00000000-0005-0000-0000-0000C95E0000}"/>
    <cellStyle name="Output 5 3 2 2 4 2" xfId="25686" xr:uid="{00000000-0005-0000-0000-0000CA5E0000}"/>
    <cellStyle name="Output 5 3 2 3" xfId="4995" xr:uid="{00000000-0005-0000-0000-0000CB5E0000}"/>
    <cellStyle name="Output 5 3 2 3 2" xfId="9034" xr:uid="{00000000-0005-0000-0000-0000CC5E0000}"/>
    <cellStyle name="Output 5 3 2 3 2 2" xfId="17972" xr:uid="{00000000-0005-0000-0000-0000CD5E0000}"/>
    <cellStyle name="Output 5 3 2 3 2 2 2" xfId="32804" xr:uid="{00000000-0005-0000-0000-0000CE5E0000}"/>
    <cellStyle name="Output 5 3 2 3 2 3" xfId="19556" xr:uid="{00000000-0005-0000-0000-0000CF5E0000}"/>
    <cellStyle name="Output 5 3 2 3 3" xfId="15317" xr:uid="{00000000-0005-0000-0000-0000D05E0000}"/>
    <cellStyle name="Output 5 3 2 3 3 2" xfId="30149" xr:uid="{00000000-0005-0000-0000-0000D15E0000}"/>
    <cellStyle name="Output 5 3 2 3 4" xfId="11573" xr:uid="{00000000-0005-0000-0000-0000D25E0000}"/>
    <cellStyle name="Output 5 3 2 3 4 2" xfId="26405" xr:uid="{00000000-0005-0000-0000-0000D35E0000}"/>
    <cellStyle name="Output 5 3 2 4" xfId="2985" xr:uid="{00000000-0005-0000-0000-0000D45E0000}"/>
    <cellStyle name="Output 5 3 2 4 2" xfId="7065" xr:uid="{00000000-0005-0000-0000-0000D55E0000}"/>
    <cellStyle name="Output 5 3 2 4 2 2" xfId="16864" xr:uid="{00000000-0005-0000-0000-0000D65E0000}"/>
    <cellStyle name="Output 5 3 2 4 2 2 2" xfId="31696" xr:uid="{00000000-0005-0000-0000-0000D75E0000}"/>
    <cellStyle name="Output 5 3 2 4 2 3" xfId="18848" xr:uid="{00000000-0005-0000-0000-0000D85E0000}"/>
    <cellStyle name="Output 5 3 2 4 3" xfId="13323" xr:uid="{00000000-0005-0000-0000-0000D95E0000}"/>
    <cellStyle name="Output 5 3 2 4 3 2" xfId="28155" xr:uid="{00000000-0005-0000-0000-0000DA5E0000}"/>
    <cellStyle name="Output 5 3 2 4 4" xfId="10519" xr:uid="{00000000-0005-0000-0000-0000DB5E0000}"/>
    <cellStyle name="Output 5 3 2 4 4 2" xfId="25351" xr:uid="{00000000-0005-0000-0000-0000DC5E0000}"/>
    <cellStyle name="Output 5 3 2 5" xfId="6157" xr:uid="{00000000-0005-0000-0000-0000DD5E0000}"/>
    <cellStyle name="Output 5 3 2 5 2" xfId="16344" xr:uid="{00000000-0005-0000-0000-0000DE5E0000}"/>
    <cellStyle name="Output 5 3 2 5 2 2" xfId="31176" xr:uid="{00000000-0005-0000-0000-0000DF5E0000}"/>
    <cellStyle name="Output 5 3 2 5 3" xfId="18489" xr:uid="{00000000-0005-0000-0000-0000E05E0000}"/>
    <cellStyle name="Output 5 3 2 6" xfId="12414" xr:uid="{00000000-0005-0000-0000-0000E15E0000}"/>
    <cellStyle name="Output 5 3 2 6 2" xfId="27246" xr:uid="{00000000-0005-0000-0000-0000E25E0000}"/>
    <cellStyle name="Output 5 3 2 7" xfId="9996" xr:uid="{00000000-0005-0000-0000-0000E35E0000}"/>
    <cellStyle name="Output 5 3 2 7 2" xfId="24828" xr:uid="{00000000-0005-0000-0000-0000E45E0000}"/>
    <cellStyle name="Output 5 3 3" xfId="3282" xr:uid="{00000000-0005-0000-0000-0000E55E0000}"/>
    <cellStyle name="Output 5 3 3 2" xfId="7346" xr:uid="{00000000-0005-0000-0000-0000E65E0000}"/>
    <cellStyle name="Output 5 3 3 2 2" xfId="17089" xr:uid="{00000000-0005-0000-0000-0000E75E0000}"/>
    <cellStyle name="Output 5 3 3 2 2 2" xfId="31921" xr:uid="{00000000-0005-0000-0000-0000E85E0000}"/>
    <cellStyle name="Output 5 3 3 2 3" xfId="18982" xr:uid="{00000000-0005-0000-0000-0000E95E0000}"/>
    <cellStyle name="Output 5 3 3 3" xfId="13619" xr:uid="{00000000-0005-0000-0000-0000EA5E0000}"/>
    <cellStyle name="Output 5 3 3 3 2" xfId="28451" xr:uid="{00000000-0005-0000-0000-0000EB5E0000}"/>
    <cellStyle name="Output 5 3 3 4" xfId="10716" xr:uid="{00000000-0005-0000-0000-0000EC5E0000}"/>
    <cellStyle name="Output 5 3 3 4 2" xfId="25548" xr:uid="{00000000-0005-0000-0000-0000ED5E0000}"/>
    <cellStyle name="Output 5 3 4" xfId="4575" xr:uid="{00000000-0005-0000-0000-0000EE5E0000}"/>
    <cellStyle name="Output 5 3 4 2" xfId="8614" xr:uid="{00000000-0005-0000-0000-0000EF5E0000}"/>
    <cellStyle name="Output 5 3 4 2 2" xfId="17732" xr:uid="{00000000-0005-0000-0000-0000F05E0000}"/>
    <cellStyle name="Output 5 3 4 2 2 2" xfId="32564" xr:uid="{00000000-0005-0000-0000-0000F15E0000}"/>
    <cellStyle name="Output 5 3 4 2 3" xfId="19396" xr:uid="{00000000-0005-0000-0000-0000F25E0000}"/>
    <cellStyle name="Output 5 3 4 3" xfId="14902" xr:uid="{00000000-0005-0000-0000-0000F35E0000}"/>
    <cellStyle name="Output 5 3 4 3 2" xfId="29734" xr:uid="{00000000-0005-0000-0000-0000F45E0000}"/>
    <cellStyle name="Output 5 3 4 4" xfId="11338" xr:uid="{00000000-0005-0000-0000-0000F55E0000}"/>
    <cellStyle name="Output 5 3 4 4 2" xfId="26170" xr:uid="{00000000-0005-0000-0000-0000F65E0000}"/>
    <cellStyle name="Output 5 3 5" xfId="2565" xr:uid="{00000000-0005-0000-0000-0000F75E0000}"/>
    <cellStyle name="Output 5 3 5 2" xfId="6671" xr:uid="{00000000-0005-0000-0000-0000F85E0000}"/>
    <cellStyle name="Output 5 3 5 2 2" xfId="16629" xr:uid="{00000000-0005-0000-0000-0000F95E0000}"/>
    <cellStyle name="Output 5 3 5 2 2 2" xfId="31461" xr:uid="{00000000-0005-0000-0000-0000FA5E0000}"/>
    <cellStyle name="Output 5 3 5 2 3" xfId="18684" xr:uid="{00000000-0005-0000-0000-0000FB5E0000}"/>
    <cellStyle name="Output 5 3 5 3" xfId="12903" xr:uid="{00000000-0005-0000-0000-0000FC5E0000}"/>
    <cellStyle name="Output 5 3 5 3 2" xfId="27735" xr:uid="{00000000-0005-0000-0000-0000FD5E0000}"/>
    <cellStyle name="Output 5 3 5 4" xfId="10279" xr:uid="{00000000-0005-0000-0000-0000FE5E0000}"/>
    <cellStyle name="Output 5 3 5 4 2" xfId="25111" xr:uid="{00000000-0005-0000-0000-0000FF5E0000}"/>
    <cellStyle name="Output 5 3 6" xfId="5688" xr:uid="{00000000-0005-0000-0000-0000005F0000}"/>
    <cellStyle name="Output 5 3 6 2" xfId="15923" xr:uid="{00000000-0005-0000-0000-0000015F0000}"/>
    <cellStyle name="Output 5 3 6 2 2" xfId="30755" xr:uid="{00000000-0005-0000-0000-0000025F0000}"/>
    <cellStyle name="Output 5 3 6 3" xfId="18326" xr:uid="{00000000-0005-0000-0000-0000035F0000}"/>
    <cellStyle name="Output 5 3 7" xfId="11943" xr:uid="{00000000-0005-0000-0000-0000045F0000}"/>
    <cellStyle name="Output 5 3 7 2" xfId="26775" xr:uid="{00000000-0005-0000-0000-0000055F0000}"/>
    <cellStyle name="Output 5 3 8" xfId="9601" xr:uid="{00000000-0005-0000-0000-0000065F0000}"/>
    <cellStyle name="Output 5 3 8 2" xfId="19903" xr:uid="{00000000-0005-0000-0000-0000075F0000}"/>
    <cellStyle name="Output 5 4" xfId="1585" xr:uid="{00000000-0005-0000-0000-0000085F0000}"/>
    <cellStyle name="Output 5 4 2" xfId="2082" xr:uid="{00000000-0005-0000-0000-0000095F0000}"/>
    <cellStyle name="Output 5 4 2 2" xfId="3729" xr:uid="{00000000-0005-0000-0000-00000A5F0000}"/>
    <cellStyle name="Output 5 4 2 2 2" xfId="7785" xr:uid="{00000000-0005-0000-0000-00000B5F0000}"/>
    <cellStyle name="Output 5 4 2 2 2 2" xfId="17338" xr:uid="{00000000-0005-0000-0000-00000C5F0000}"/>
    <cellStyle name="Output 5 4 2 2 2 2 2" xfId="32170" xr:uid="{00000000-0005-0000-0000-00000D5F0000}"/>
    <cellStyle name="Output 5 4 2 2 2 3" xfId="19134" xr:uid="{00000000-0005-0000-0000-00000E5F0000}"/>
    <cellStyle name="Output 5 4 2 2 3" xfId="14064" xr:uid="{00000000-0005-0000-0000-00000F5F0000}"/>
    <cellStyle name="Output 5 4 2 2 3 2" xfId="28896" xr:uid="{00000000-0005-0000-0000-0000105F0000}"/>
    <cellStyle name="Output 5 4 2 2 4" xfId="10954" xr:uid="{00000000-0005-0000-0000-0000115F0000}"/>
    <cellStyle name="Output 5 4 2 2 4 2" xfId="25786" xr:uid="{00000000-0005-0000-0000-0000125F0000}"/>
    <cellStyle name="Output 5 4 2 3" xfId="5050" xr:uid="{00000000-0005-0000-0000-0000135F0000}"/>
    <cellStyle name="Output 5 4 2 3 2" xfId="9089" xr:uid="{00000000-0005-0000-0000-0000145F0000}"/>
    <cellStyle name="Output 5 4 2 3 2 2" xfId="18022" xr:uid="{00000000-0005-0000-0000-0000155F0000}"/>
    <cellStyle name="Output 5 4 2 3 2 2 2" xfId="32854" xr:uid="{00000000-0005-0000-0000-0000165F0000}"/>
    <cellStyle name="Output 5 4 2 3 2 3" xfId="19588" xr:uid="{00000000-0005-0000-0000-0000175F0000}"/>
    <cellStyle name="Output 5 4 2 3 3" xfId="15371" xr:uid="{00000000-0005-0000-0000-0000185F0000}"/>
    <cellStyle name="Output 5 4 2 3 3 2" xfId="30203" xr:uid="{00000000-0005-0000-0000-0000195F0000}"/>
    <cellStyle name="Output 5 4 2 3 4" xfId="11622" xr:uid="{00000000-0005-0000-0000-00001A5F0000}"/>
    <cellStyle name="Output 5 4 2 3 4 2" xfId="26454" xr:uid="{00000000-0005-0000-0000-00001B5F0000}"/>
    <cellStyle name="Output 5 4 2 4" xfId="3040" xr:uid="{00000000-0005-0000-0000-00001C5F0000}"/>
    <cellStyle name="Output 5 4 2 4 2" xfId="7115" xr:uid="{00000000-0005-0000-0000-00001D5F0000}"/>
    <cellStyle name="Output 5 4 2 4 2 2" xfId="16913" xr:uid="{00000000-0005-0000-0000-00001E5F0000}"/>
    <cellStyle name="Output 5 4 2 4 2 2 2" xfId="31745" xr:uid="{00000000-0005-0000-0000-00001F5F0000}"/>
    <cellStyle name="Output 5 4 2 4 2 3" xfId="18881" xr:uid="{00000000-0005-0000-0000-0000205F0000}"/>
    <cellStyle name="Output 5 4 2 4 3" xfId="13378" xr:uid="{00000000-0005-0000-0000-0000215F0000}"/>
    <cellStyle name="Output 5 4 2 4 3 2" xfId="28210" xr:uid="{00000000-0005-0000-0000-0000225F0000}"/>
    <cellStyle name="Output 5 4 2 4 4" xfId="10569" xr:uid="{00000000-0005-0000-0000-0000235F0000}"/>
    <cellStyle name="Output 5 4 2 4 4 2" xfId="25401" xr:uid="{00000000-0005-0000-0000-0000245F0000}"/>
    <cellStyle name="Output 5 4 2 5" xfId="6207" xr:uid="{00000000-0005-0000-0000-0000255F0000}"/>
    <cellStyle name="Output 5 4 2 5 2" xfId="16393" xr:uid="{00000000-0005-0000-0000-0000265F0000}"/>
    <cellStyle name="Output 5 4 2 5 2 2" xfId="31225" xr:uid="{00000000-0005-0000-0000-0000275F0000}"/>
    <cellStyle name="Output 5 4 2 5 3" xfId="18522" xr:uid="{00000000-0005-0000-0000-0000285F0000}"/>
    <cellStyle name="Output 5 4 2 6" xfId="12463" xr:uid="{00000000-0005-0000-0000-0000295F0000}"/>
    <cellStyle name="Output 5 4 2 6 2" xfId="27295" xr:uid="{00000000-0005-0000-0000-00002A5F0000}"/>
    <cellStyle name="Output 5 4 2 7" xfId="10045" xr:uid="{00000000-0005-0000-0000-00002B5F0000}"/>
    <cellStyle name="Output 5 4 2 7 2" xfId="24877" xr:uid="{00000000-0005-0000-0000-00002C5F0000}"/>
    <cellStyle name="Output 5 4 3" xfId="3504" xr:uid="{00000000-0005-0000-0000-00002D5F0000}"/>
    <cellStyle name="Output 5 4 3 2" xfId="7566" xr:uid="{00000000-0005-0000-0000-00002E5F0000}"/>
    <cellStyle name="Output 5 4 3 2 2" xfId="17224" xr:uid="{00000000-0005-0000-0000-00002F5F0000}"/>
    <cellStyle name="Output 5 4 3 2 2 2" xfId="32056" xr:uid="{00000000-0005-0000-0000-0000305F0000}"/>
    <cellStyle name="Output 5 4 3 2 3" xfId="19057" xr:uid="{00000000-0005-0000-0000-0000315F0000}"/>
    <cellStyle name="Output 5 4 3 3" xfId="13841" xr:uid="{00000000-0005-0000-0000-0000325F0000}"/>
    <cellStyle name="Output 5 4 3 3 2" xfId="28673" xr:uid="{00000000-0005-0000-0000-0000335F0000}"/>
    <cellStyle name="Output 5 4 3 4" xfId="10842" xr:uid="{00000000-0005-0000-0000-0000345F0000}"/>
    <cellStyle name="Output 5 4 3 4 2" xfId="25674" xr:uid="{00000000-0005-0000-0000-0000355F0000}"/>
    <cellStyle name="Output 5 4 4" xfId="4630" xr:uid="{00000000-0005-0000-0000-0000365F0000}"/>
    <cellStyle name="Output 5 4 4 2" xfId="8669" xr:uid="{00000000-0005-0000-0000-0000375F0000}"/>
    <cellStyle name="Output 5 4 4 2 2" xfId="17782" xr:uid="{00000000-0005-0000-0000-0000385F0000}"/>
    <cellStyle name="Output 5 4 4 2 2 2" xfId="32614" xr:uid="{00000000-0005-0000-0000-0000395F0000}"/>
    <cellStyle name="Output 5 4 4 2 3" xfId="19428" xr:uid="{00000000-0005-0000-0000-00003A5F0000}"/>
    <cellStyle name="Output 5 4 4 3" xfId="14956" xr:uid="{00000000-0005-0000-0000-00003B5F0000}"/>
    <cellStyle name="Output 5 4 4 3 2" xfId="29788" xr:uid="{00000000-0005-0000-0000-00003C5F0000}"/>
    <cellStyle name="Output 5 4 4 4" xfId="11387" xr:uid="{00000000-0005-0000-0000-00003D5F0000}"/>
    <cellStyle name="Output 5 4 4 4 2" xfId="26219" xr:uid="{00000000-0005-0000-0000-00003E5F0000}"/>
    <cellStyle name="Output 5 4 5" xfId="2620" xr:uid="{00000000-0005-0000-0000-00003F5F0000}"/>
    <cellStyle name="Output 5 4 5 2" xfId="6721" xr:uid="{00000000-0005-0000-0000-0000405F0000}"/>
    <cellStyle name="Output 5 4 5 2 2" xfId="16678" xr:uid="{00000000-0005-0000-0000-0000415F0000}"/>
    <cellStyle name="Output 5 4 5 2 2 2" xfId="31510" xr:uid="{00000000-0005-0000-0000-0000425F0000}"/>
    <cellStyle name="Output 5 4 5 2 3" xfId="18717" xr:uid="{00000000-0005-0000-0000-0000435F0000}"/>
    <cellStyle name="Output 5 4 5 3" xfId="12958" xr:uid="{00000000-0005-0000-0000-0000445F0000}"/>
    <cellStyle name="Output 5 4 5 3 2" xfId="27790" xr:uid="{00000000-0005-0000-0000-0000455F0000}"/>
    <cellStyle name="Output 5 4 5 4" xfId="10329" xr:uid="{00000000-0005-0000-0000-0000465F0000}"/>
    <cellStyle name="Output 5 4 5 4 2" xfId="25161" xr:uid="{00000000-0005-0000-0000-0000475F0000}"/>
    <cellStyle name="Output 5 4 6" xfId="5737" xr:uid="{00000000-0005-0000-0000-0000485F0000}"/>
    <cellStyle name="Output 5 4 6 2" xfId="15972" xr:uid="{00000000-0005-0000-0000-0000495F0000}"/>
    <cellStyle name="Output 5 4 6 2 2" xfId="30804" xr:uid="{00000000-0005-0000-0000-00004A5F0000}"/>
    <cellStyle name="Output 5 4 6 3" xfId="18358" xr:uid="{00000000-0005-0000-0000-00004B5F0000}"/>
    <cellStyle name="Output 5 4 7" xfId="11992" xr:uid="{00000000-0005-0000-0000-00004C5F0000}"/>
    <cellStyle name="Output 5 4 7 2" xfId="26824" xr:uid="{00000000-0005-0000-0000-00004D5F0000}"/>
    <cellStyle name="Output 5 4 8" xfId="9651" xr:uid="{00000000-0005-0000-0000-00004E5F0000}"/>
    <cellStyle name="Output 5 4 8 2" xfId="19952" xr:uid="{00000000-0005-0000-0000-00004F5F0000}"/>
    <cellStyle name="Output 5 5" xfId="1635" xr:uid="{00000000-0005-0000-0000-0000505F0000}"/>
    <cellStyle name="Output 5 5 2" xfId="2132" xr:uid="{00000000-0005-0000-0000-0000515F0000}"/>
    <cellStyle name="Output 5 5 2 2" xfId="3823" xr:uid="{00000000-0005-0000-0000-0000525F0000}"/>
    <cellStyle name="Output 5 5 2 2 2" xfId="7876" xr:uid="{00000000-0005-0000-0000-0000535F0000}"/>
    <cellStyle name="Output 5 5 2 2 2 2" xfId="17381" xr:uid="{00000000-0005-0000-0000-0000545F0000}"/>
    <cellStyle name="Output 5 5 2 2 2 2 2" xfId="32213" xr:uid="{00000000-0005-0000-0000-0000555F0000}"/>
    <cellStyle name="Output 5 5 2 2 2 3" xfId="19165" xr:uid="{00000000-0005-0000-0000-0000565F0000}"/>
    <cellStyle name="Output 5 5 2 2 3" xfId="14158" xr:uid="{00000000-0005-0000-0000-0000575F0000}"/>
    <cellStyle name="Output 5 5 2 2 3 2" xfId="28990" xr:uid="{00000000-0005-0000-0000-0000585F0000}"/>
    <cellStyle name="Output 5 5 2 2 4" xfId="11000" xr:uid="{00000000-0005-0000-0000-0000595F0000}"/>
    <cellStyle name="Output 5 5 2 2 4 2" xfId="25832" xr:uid="{00000000-0005-0000-0000-00005A5F0000}"/>
    <cellStyle name="Output 5 5 2 3" xfId="5100" xr:uid="{00000000-0005-0000-0000-00005B5F0000}"/>
    <cellStyle name="Output 5 5 2 3 2" xfId="9139" xr:uid="{00000000-0005-0000-0000-00005C5F0000}"/>
    <cellStyle name="Output 5 5 2 3 2 2" xfId="18067" xr:uid="{00000000-0005-0000-0000-00005D5F0000}"/>
    <cellStyle name="Output 5 5 2 3 2 2 2" xfId="32899" xr:uid="{00000000-0005-0000-0000-00005E5F0000}"/>
    <cellStyle name="Output 5 5 2 3 2 3" xfId="19620" xr:uid="{00000000-0005-0000-0000-00005F5F0000}"/>
    <cellStyle name="Output 5 5 2 3 3" xfId="15420" xr:uid="{00000000-0005-0000-0000-0000605F0000}"/>
    <cellStyle name="Output 5 5 2 3 3 2" xfId="30252" xr:uid="{00000000-0005-0000-0000-0000615F0000}"/>
    <cellStyle name="Output 5 5 2 3 4" xfId="11666" xr:uid="{00000000-0005-0000-0000-0000625F0000}"/>
    <cellStyle name="Output 5 5 2 3 4 2" xfId="26498" xr:uid="{00000000-0005-0000-0000-0000635F0000}"/>
    <cellStyle name="Output 5 5 2 4" xfId="3090" xr:uid="{00000000-0005-0000-0000-0000645F0000}"/>
    <cellStyle name="Output 5 5 2 4 2" xfId="7160" xr:uid="{00000000-0005-0000-0000-0000655F0000}"/>
    <cellStyle name="Output 5 5 2 4 2 2" xfId="16957" xr:uid="{00000000-0005-0000-0000-0000665F0000}"/>
    <cellStyle name="Output 5 5 2 4 2 2 2" xfId="31789" xr:uid="{00000000-0005-0000-0000-0000675F0000}"/>
    <cellStyle name="Output 5 5 2 4 2 3" xfId="18914" xr:uid="{00000000-0005-0000-0000-0000685F0000}"/>
    <cellStyle name="Output 5 5 2 4 3" xfId="13428" xr:uid="{00000000-0005-0000-0000-0000695F0000}"/>
    <cellStyle name="Output 5 5 2 4 3 2" xfId="28260" xr:uid="{00000000-0005-0000-0000-00006A5F0000}"/>
    <cellStyle name="Output 5 5 2 4 4" xfId="10614" xr:uid="{00000000-0005-0000-0000-00006B5F0000}"/>
    <cellStyle name="Output 5 5 2 4 4 2" xfId="25446" xr:uid="{00000000-0005-0000-0000-00006C5F0000}"/>
    <cellStyle name="Output 5 5 2 5" xfId="6252" xr:uid="{00000000-0005-0000-0000-00006D5F0000}"/>
    <cellStyle name="Output 5 5 2 5 2" xfId="16437" xr:uid="{00000000-0005-0000-0000-00006E5F0000}"/>
    <cellStyle name="Output 5 5 2 5 2 2" xfId="31269" xr:uid="{00000000-0005-0000-0000-00006F5F0000}"/>
    <cellStyle name="Output 5 5 2 5 3" xfId="18555" xr:uid="{00000000-0005-0000-0000-0000705F0000}"/>
    <cellStyle name="Output 5 5 2 6" xfId="12507" xr:uid="{00000000-0005-0000-0000-0000715F0000}"/>
    <cellStyle name="Output 5 5 2 6 2" xfId="27339" xr:uid="{00000000-0005-0000-0000-0000725F0000}"/>
    <cellStyle name="Output 5 5 2 7" xfId="10089" xr:uid="{00000000-0005-0000-0000-0000735F0000}"/>
    <cellStyle name="Output 5 5 2 7 2" xfId="24921" xr:uid="{00000000-0005-0000-0000-0000745F0000}"/>
    <cellStyle name="Output 5 5 3" xfId="4072" xr:uid="{00000000-0005-0000-0000-0000755F0000}"/>
    <cellStyle name="Output 5 5 3 2" xfId="8119" xr:uid="{00000000-0005-0000-0000-0000765F0000}"/>
    <cellStyle name="Output 5 5 3 2 2" xfId="17507" xr:uid="{00000000-0005-0000-0000-0000775F0000}"/>
    <cellStyle name="Output 5 5 3 2 2 2" xfId="32339" xr:uid="{00000000-0005-0000-0000-0000785F0000}"/>
    <cellStyle name="Output 5 5 3 2 3" xfId="19259" xr:uid="{00000000-0005-0000-0000-0000795F0000}"/>
    <cellStyle name="Output 5 5 3 3" xfId="14404" xr:uid="{00000000-0005-0000-0000-00007A5F0000}"/>
    <cellStyle name="Output 5 5 3 3 2" xfId="29236" xr:uid="{00000000-0005-0000-0000-00007B5F0000}"/>
    <cellStyle name="Output 5 5 3 4" xfId="11123" xr:uid="{00000000-0005-0000-0000-00007C5F0000}"/>
    <cellStyle name="Output 5 5 3 4 2" xfId="25955" xr:uid="{00000000-0005-0000-0000-00007D5F0000}"/>
    <cellStyle name="Output 5 5 4" xfId="4680" xr:uid="{00000000-0005-0000-0000-00007E5F0000}"/>
    <cellStyle name="Output 5 5 4 2" xfId="8719" xr:uid="{00000000-0005-0000-0000-00007F5F0000}"/>
    <cellStyle name="Output 5 5 4 2 2" xfId="17827" xr:uid="{00000000-0005-0000-0000-0000805F0000}"/>
    <cellStyle name="Output 5 5 4 2 2 2" xfId="32659" xr:uid="{00000000-0005-0000-0000-0000815F0000}"/>
    <cellStyle name="Output 5 5 4 2 3" xfId="19460" xr:uid="{00000000-0005-0000-0000-0000825F0000}"/>
    <cellStyle name="Output 5 5 4 3" xfId="15005" xr:uid="{00000000-0005-0000-0000-0000835F0000}"/>
    <cellStyle name="Output 5 5 4 3 2" xfId="29837" xr:uid="{00000000-0005-0000-0000-0000845F0000}"/>
    <cellStyle name="Output 5 5 4 4" xfId="11431" xr:uid="{00000000-0005-0000-0000-0000855F0000}"/>
    <cellStyle name="Output 5 5 4 4 2" xfId="26263" xr:uid="{00000000-0005-0000-0000-0000865F0000}"/>
    <cellStyle name="Output 5 5 5" xfId="2670" xr:uid="{00000000-0005-0000-0000-0000875F0000}"/>
    <cellStyle name="Output 5 5 5 2" xfId="6766" xr:uid="{00000000-0005-0000-0000-0000885F0000}"/>
    <cellStyle name="Output 5 5 5 2 2" xfId="16722" xr:uid="{00000000-0005-0000-0000-0000895F0000}"/>
    <cellStyle name="Output 5 5 5 2 2 2" xfId="31554" xr:uid="{00000000-0005-0000-0000-00008A5F0000}"/>
    <cellStyle name="Output 5 5 5 2 3" xfId="18750" xr:uid="{00000000-0005-0000-0000-00008B5F0000}"/>
    <cellStyle name="Output 5 5 5 3" xfId="13008" xr:uid="{00000000-0005-0000-0000-00008C5F0000}"/>
    <cellStyle name="Output 5 5 5 3 2" xfId="27840" xr:uid="{00000000-0005-0000-0000-00008D5F0000}"/>
    <cellStyle name="Output 5 5 5 4" xfId="10374" xr:uid="{00000000-0005-0000-0000-00008E5F0000}"/>
    <cellStyle name="Output 5 5 5 4 2" xfId="25206" xr:uid="{00000000-0005-0000-0000-00008F5F0000}"/>
    <cellStyle name="Output 5 5 6" xfId="5782" xr:uid="{00000000-0005-0000-0000-0000905F0000}"/>
    <cellStyle name="Output 5 5 6 2" xfId="16016" xr:uid="{00000000-0005-0000-0000-0000915F0000}"/>
    <cellStyle name="Output 5 5 6 2 2" xfId="30848" xr:uid="{00000000-0005-0000-0000-0000925F0000}"/>
    <cellStyle name="Output 5 5 6 3" xfId="18391" xr:uid="{00000000-0005-0000-0000-0000935F0000}"/>
    <cellStyle name="Output 5 5 7" xfId="12036" xr:uid="{00000000-0005-0000-0000-0000945F0000}"/>
    <cellStyle name="Output 5 5 7 2" xfId="26868" xr:uid="{00000000-0005-0000-0000-0000955F0000}"/>
    <cellStyle name="Output 5 5 8" xfId="9696" xr:uid="{00000000-0005-0000-0000-0000965F0000}"/>
    <cellStyle name="Output 5 5 8 2" xfId="19996" xr:uid="{00000000-0005-0000-0000-0000975F0000}"/>
    <cellStyle name="Output 5 6" xfId="1786" xr:uid="{00000000-0005-0000-0000-0000985F0000}"/>
    <cellStyle name="Output 5 6 2" xfId="3764" xr:uid="{00000000-0005-0000-0000-0000995F0000}"/>
    <cellStyle name="Output 5 6 2 2" xfId="7820" xr:uid="{00000000-0005-0000-0000-00009A5F0000}"/>
    <cellStyle name="Output 5 6 2 2 2" xfId="17355" xr:uid="{00000000-0005-0000-0000-00009B5F0000}"/>
    <cellStyle name="Output 5 6 2 2 2 2" xfId="32187" xr:uid="{00000000-0005-0000-0000-00009C5F0000}"/>
    <cellStyle name="Output 5 6 2 2 3" xfId="19149" xr:uid="{00000000-0005-0000-0000-00009D5F0000}"/>
    <cellStyle name="Output 5 6 2 3" xfId="14099" xr:uid="{00000000-0005-0000-0000-00009E5F0000}"/>
    <cellStyle name="Output 5 6 2 3 2" xfId="28931" xr:uid="{00000000-0005-0000-0000-00009F5F0000}"/>
    <cellStyle name="Output 5 6 2 4" xfId="10971" xr:uid="{00000000-0005-0000-0000-0000A05F0000}"/>
    <cellStyle name="Output 5 6 2 4 2" xfId="25803" xr:uid="{00000000-0005-0000-0000-0000A15F0000}"/>
    <cellStyle name="Output 5 6 3" xfId="4764" xr:uid="{00000000-0005-0000-0000-0000A25F0000}"/>
    <cellStyle name="Output 5 6 3 2" xfId="8803" xr:uid="{00000000-0005-0000-0000-0000A35F0000}"/>
    <cellStyle name="Output 5 6 3 2 2" xfId="17875" xr:uid="{00000000-0005-0000-0000-0000A45F0000}"/>
    <cellStyle name="Output 5 6 3 2 2 2" xfId="32707" xr:uid="{00000000-0005-0000-0000-0000A55F0000}"/>
    <cellStyle name="Output 5 6 3 2 3" xfId="19492" xr:uid="{00000000-0005-0000-0000-0000A65F0000}"/>
    <cellStyle name="Output 5 6 3 3" xfId="15088" xr:uid="{00000000-0005-0000-0000-0000A75F0000}"/>
    <cellStyle name="Output 5 6 3 3 2" xfId="29920" xr:uid="{00000000-0005-0000-0000-0000A85F0000}"/>
    <cellStyle name="Output 5 6 3 4" xfId="11478" xr:uid="{00000000-0005-0000-0000-0000A95F0000}"/>
    <cellStyle name="Output 5 6 3 4 2" xfId="26310" xr:uid="{00000000-0005-0000-0000-0000AA5F0000}"/>
    <cellStyle name="Output 5 6 4" xfId="2754" xr:uid="{00000000-0005-0000-0000-0000AB5F0000}"/>
    <cellStyle name="Output 5 6 4 2" xfId="6845" xr:uid="{00000000-0005-0000-0000-0000AC5F0000}"/>
    <cellStyle name="Output 5 6 4 2 2" xfId="16769" xr:uid="{00000000-0005-0000-0000-0000AD5F0000}"/>
    <cellStyle name="Output 5 6 4 2 2 2" xfId="31601" xr:uid="{00000000-0005-0000-0000-0000AE5F0000}"/>
    <cellStyle name="Output 5 6 4 2 3" xfId="18783" xr:uid="{00000000-0005-0000-0000-0000AF5F0000}"/>
    <cellStyle name="Output 5 6 4 3" xfId="13092" xr:uid="{00000000-0005-0000-0000-0000B05F0000}"/>
    <cellStyle name="Output 5 6 4 3 2" xfId="27924" xr:uid="{00000000-0005-0000-0000-0000B15F0000}"/>
    <cellStyle name="Output 5 6 4 4" xfId="10422" xr:uid="{00000000-0005-0000-0000-0000B25F0000}"/>
    <cellStyle name="Output 5 6 4 4 2" xfId="25254" xr:uid="{00000000-0005-0000-0000-0000B35F0000}"/>
    <cellStyle name="Output 5 6 5" xfId="5918" xr:uid="{00000000-0005-0000-0000-0000B45F0000}"/>
    <cellStyle name="Output 5 6 5 2" xfId="16110" xr:uid="{00000000-0005-0000-0000-0000B55F0000}"/>
    <cellStyle name="Output 5 6 5 2 2" xfId="30942" xr:uid="{00000000-0005-0000-0000-0000B65F0000}"/>
    <cellStyle name="Output 5 6 5 3" xfId="18425" xr:uid="{00000000-0005-0000-0000-0000B75F0000}"/>
    <cellStyle name="Output 5 6 6" xfId="12180" xr:uid="{00000000-0005-0000-0000-0000B85F0000}"/>
    <cellStyle name="Output 5 6 6 2" xfId="27012" xr:uid="{00000000-0005-0000-0000-0000B95F0000}"/>
    <cellStyle name="Output 5 6 7" xfId="9776" xr:uid="{00000000-0005-0000-0000-0000BA5F0000}"/>
    <cellStyle name="Output 5 6 7 2" xfId="24733" xr:uid="{00000000-0005-0000-0000-0000BB5F0000}"/>
    <cellStyle name="Output 5 7" xfId="2180" xr:uid="{00000000-0005-0000-0000-0000BC5F0000}"/>
    <cellStyle name="Output 5 7 2" xfId="3577" xr:uid="{00000000-0005-0000-0000-0000BD5F0000}"/>
    <cellStyle name="Output 5 7 2 2" xfId="7639" xr:uid="{00000000-0005-0000-0000-0000BE5F0000}"/>
    <cellStyle name="Output 5 7 2 2 2" xfId="17265" xr:uid="{00000000-0005-0000-0000-0000BF5F0000}"/>
    <cellStyle name="Output 5 7 2 2 2 2" xfId="32097" xr:uid="{00000000-0005-0000-0000-0000C05F0000}"/>
    <cellStyle name="Output 5 7 2 2 3" xfId="19088" xr:uid="{00000000-0005-0000-0000-0000C15F0000}"/>
    <cellStyle name="Output 5 7 2 3" xfId="13913" xr:uid="{00000000-0005-0000-0000-0000C25F0000}"/>
    <cellStyle name="Output 5 7 2 3 2" xfId="28745" xr:uid="{00000000-0005-0000-0000-0000C35F0000}"/>
    <cellStyle name="Output 5 7 2 4" xfId="10882" xr:uid="{00000000-0005-0000-0000-0000C45F0000}"/>
    <cellStyle name="Output 5 7 2 4 2" xfId="25714" xr:uid="{00000000-0005-0000-0000-0000C55F0000}"/>
    <cellStyle name="Output 5 7 3" xfId="5148" xr:uid="{00000000-0005-0000-0000-0000C65F0000}"/>
    <cellStyle name="Output 5 7 3 2" xfId="9187" xr:uid="{00000000-0005-0000-0000-0000C75F0000}"/>
    <cellStyle name="Output 5 7 3 2 2" xfId="18110" xr:uid="{00000000-0005-0000-0000-0000C85F0000}"/>
    <cellStyle name="Output 5 7 3 2 2 2" xfId="32942" xr:uid="{00000000-0005-0000-0000-0000C95F0000}"/>
    <cellStyle name="Output 5 7 3 2 3" xfId="19661" xr:uid="{00000000-0005-0000-0000-0000CA5F0000}"/>
    <cellStyle name="Output 5 7 3 3" xfId="15466" xr:uid="{00000000-0005-0000-0000-0000CB5F0000}"/>
    <cellStyle name="Output 5 7 3 3 2" xfId="30298" xr:uid="{00000000-0005-0000-0000-0000CC5F0000}"/>
    <cellStyle name="Output 5 7 3 4" xfId="11707" xr:uid="{00000000-0005-0000-0000-0000CD5F0000}"/>
    <cellStyle name="Output 5 7 3 4 2" xfId="26539" xr:uid="{00000000-0005-0000-0000-0000CE5F0000}"/>
    <cellStyle name="Output 5 7 4" xfId="4178" xr:uid="{00000000-0005-0000-0000-0000CF5F0000}"/>
    <cellStyle name="Output 5 7 4 2" xfId="8219" xr:uid="{00000000-0005-0000-0000-0000D05F0000}"/>
    <cellStyle name="Output 5 7 4 2 2" xfId="17566" xr:uid="{00000000-0005-0000-0000-0000D15F0000}"/>
    <cellStyle name="Output 5 7 4 2 2 2" xfId="32398" xr:uid="{00000000-0005-0000-0000-0000D25F0000}"/>
    <cellStyle name="Output 5 7 4 2 3" xfId="19304" xr:uid="{00000000-0005-0000-0000-0000D35F0000}"/>
    <cellStyle name="Output 5 7 4 3" xfId="14510" xr:uid="{00000000-0005-0000-0000-0000D45F0000}"/>
    <cellStyle name="Output 5 7 4 3 2" xfId="29342" xr:uid="{00000000-0005-0000-0000-0000D55F0000}"/>
    <cellStyle name="Output 5 7 4 4" xfId="11186" xr:uid="{00000000-0005-0000-0000-0000D65F0000}"/>
    <cellStyle name="Output 5 7 4 4 2" xfId="26018" xr:uid="{00000000-0005-0000-0000-0000D75F0000}"/>
    <cellStyle name="Output 5 7 5" xfId="6294" xr:uid="{00000000-0005-0000-0000-0000D85F0000}"/>
    <cellStyle name="Output 5 7 5 2" xfId="16478" xr:uid="{00000000-0005-0000-0000-0000D95F0000}"/>
    <cellStyle name="Output 5 7 5 2 2" xfId="31310" xr:uid="{00000000-0005-0000-0000-0000DA5F0000}"/>
    <cellStyle name="Output 5 7 5 3" xfId="18597" xr:uid="{00000000-0005-0000-0000-0000DB5F0000}"/>
    <cellStyle name="Output 5 7 6" xfId="12548" xr:uid="{00000000-0005-0000-0000-0000DC5F0000}"/>
    <cellStyle name="Output 5 7 6 2" xfId="27380" xr:uid="{00000000-0005-0000-0000-0000DD5F0000}"/>
    <cellStyle name="Output 5 7 7" xfId="10130" xr:uid="{00000000-0005-0000-0000-0000DE5F0000}"/>
    <cellStyle name="Output 5 7 7 2" xfId="24962" xr:uid="{00000000-0005-0000-0000-0000DF5F0000}"/>
    <cellStyle name="Output 5 8" xfId="3932" xr:uid="{00000000-0005-0000-0000-0000E05F0000}"/>
    <cellStyle name="Output 5 8 2" xfId="7982" xr:uid="{00000000-0005-0000-0000-0000E15F0000}"/>
    <cellStyle name="Output 5 8 2 2" xfId="17437" xr:uid="{00000000-0005-0000-0000-0000E25F0000}"/>
    <cellStyle name="Output 5 8 2 2 2" xfId="32269" xr:uid="{00000000-0005-0000-0000-0000E35F0000}"/>
    <cellStyle name="Output 5 8 2 3" xfId="19206" xr:uid="{00000000-0005-0000-0000-0000E45F0000}"/>
    <cellStyle name="Output 5 8 3" xfId="14265" xr:uid="{00000000-0005-0000-0000-0000E55F0000}"/>
    <cellStyle name="Output 5 8 3 2" xfId="29097" xr:uid="{00000000-0005-0000-0000-0000E65F0000}"/>
    <cellStyle name="Output 5 8 4" xfId="11052" xr:uid="{00000000-0005-0000-0000-0000E75F0000}"/>
    <cellStyle name="Output 5 8 4 2" xfId="25884" xr:uid="{00000000-0005-0000-0000-0000E85F0000}"/>
    <cellStyle name="Output 5 9" xfId="4288" xr:uid="{00000000-0005-0000-0000-0000E95F0000}"/>
    <cellStyle name="Output 5 9 2" xfId="8327" xr:uid="{00000000-0005-0000-0000-0000EA5F0000}"/>
    <cellStyle name="Output 5 9 2 2" xfId="17609" xr:uid="{00000000-0005-0000-0000-0000EB5F0000}"/>
    <cellStyle name="Output 5 9 2 2 2" xfId="32441" xr:uid="{00000000-0005-0000-0000-0000EC5F0000}"/>
    <cellStyle name="Output 5 9 2 3" xfId="19322" xr:uid="{00000000-0005-0000-0000-0000ED5F0000}"/>
    <cellStyle name="Output 5 9 3" xfId="14620" xr:uid="{00000000-0005-0000-0000-0000EE5F0000}"/>
    <cellStyle name="Output 5 9 3 2" xfId="29452" xr:uid="{00000000-0005-0000-0000-0000EF5F0000}"/>
    <cellStyle name="Output 5 9 4" xfId="11224" xr:uid="{00000000-0005-0000-0000-0000F05F0000}"/>
    <cellStyle name="Output 5 9 4 2" xfId="26056" xr:uid="{00000000-0005-0000-0000-0000F15F0000}"/>
    <cellStyle name="Output 6" xfId="1242" xr:uid="{00000000-0005-0000-0000-0000F25F0000}"/>
    <cellStyle name="Output 6 10" xfId="2328" xr:uid="{00000000-0005-0000-0000-0000F35F0000}"/>
    <cellStyle name="Output 6 10 2" xfId="6440" xr:uid="{00000000-0005-0000-0000-0000F45F0000}"/>
    <cellStyle name="Output 6 10 2 2" xfId="16533" xr:uid="{00000000-0005-0000-0000-0000F55F0000}"/>
    <cellStyle name="Output 6 10 2 2 2" xfId="31365" xr:uid="{00000000-0005-0000-0000-0000F65F0000}"/>
    <cellStyle name="Output 6 10 2 3" xfId="18621" xr:uid="{00000000-0005-0000-0000-0000F75F0000}"/>
    <cellStyle name="Output 6 10 3" xfId="12668" xr:uid="{00000000-0005-0000-0000-0000F85F0000}"/>
    <cellStyle name="Output 6 10 3 2" xfId="27500" xr:uid="{00000000-0005-0000-0000-0000F95F0000}"/>
    <cellStyle name="Output 6 10 4" xfId="10184" xr:uid="{00000000-0005-0000-0000-0000FA5F0000}"/>
    <cellStyle name="Output 6 10 4 2" xfId="25016" xr:uid="{00000000-0005-0000-0000-0000FB5F0000}"/>
    <cellStyle name="Output 6 11" xfId="5291" xr:uid="{00000000-0005-0000-0000-0000FC5F0000}"/>
    <cellStyle name="Output 6 11 2" xfId="9299" xr:uid="{00000000-0005-0000-0000-0000FD5F0000}"/>
    <cellStyle name="Output 6 11 2 2" xfId="18166" xr:uid="{00000000-0005-0000-0000-0000FE5F0000}"/>
    <cellStyle name="Output 6 11 2 2 2" xfId="32998" xr:uid="{00000000-0005-0000-0000-0000FF5F0000}"/>
    <cellStyle name="Output 6 11 2 3" xfId="19685" xr:uid="{00000000-0005-0000-0000-000000600000}"/>
    <cellStyle name="Output 6 11 3" xfId="15607" xr:uid="{00000000-0005-0000-0000-000001600000}"/>
    <cellStyle name="Output 6 11 3 2" xfId="30439" xr:uid="{00000000-0005-0000-0000-000002600000}"/>
    <cellStyle name="Output 6 12" xfId="5449" xr:uid="{00000000-0005-0000-0000-000003600000}"/>
    <cellStyle name="Output 6 12 2" xfId="15685" xr:uid="{00000000-0005-0000-0000-000004600000}"/>
    <cellStyle name="Output 6 12 2 2" xfId="30517" xr:uid="{00000000-0005-0000-0000-000005600000}"/>
    <cellStyle name="Output 6 12 3" xfId="18262" xr:uid="{00000000-0005-0000-0000-000006600000}"/>
    <cellStyle name="Output 6 13" xfId="9342" xr:uid="{00000000-0005-0000-0000-000007600000}"/>
    <cellStyle name="Output 6 13 2" xfId="24648" xr:uid="{00000000-0005-0000-0000-000008600000}"/>
    <cellStyle name="Output 6 14" xfId="5331" xr:uid="{00000000-0005-0000-0000-000009600000}"/>
    <cellStyle name="Output 6 14 2" xfId="18205" xr:uid="{00000000-0005-0000-0000-00000A600000}"/>
    <cellStyle name="Output 6 2" xfId="1361" xr:uid="{00000000-0005-0000-0000-00000B600000}"/>
    <cellStyle name="Output 6 2 2" xfId="1865" xr:uid="{00000000-0005-0000-0000-00000C600000}"/>
    <cellStyle name="Output 6 2 2 2" xfId="3869" xr:uid="{00000000-0005-0000-0000-00000D600000}"/>
    <cellStyle name="Output 6 2 2 2 2" xfId="7921" xr:uid="{00000000-0005-0000-0000-00000E600000}"/>
    <cellStyle name="Output 6 2 2 2 2 2" xfId="17402" xr:uid="{00000000-0005-0000-0000-00000F600000}"/>
    <cellStyle name="Output 6 2 2 2 2 2 2" xfId="32234" xr:uid="{00000000-0005-0000-0000-000010600000}"/>
    <cellStyle name="Output 6 2 2 2 2 3" xfId="19181" xr:uid="{00000000-0005-0000-0000-000011600000}"/>
    <cellStyle name="Output 6 2 2 2 3" xfId="14204" xr:uid="{00000000-0005-0000-0000-000012600000}"/>
    <cellStyle name="Output 6 2 2 2 3 2" xfId="29036" xr:uid="{00000000-0005-0000-0000-000013600000}"/>
    <cellStyle name="Output 6 2 2 2 4" xfId="11021" xr:uid="{00000000-0005-0000-0000-000014600000}"/>
    <cellStyle name="Output 6 2 2 2 4 2" xfId="25853" xr:uid="{00000000-0005-0000-0000-000015600000}"/>
    <cellStyle name="Output 6 2 2 3" xfId="4843" xr:uid="{00000000-0005-0000-0000-000016600000}"/>
    <cellStyle name="Output 6 2 2 3 2" xfId="8882" xr:uid="{00000000-0005-0000-0000-000017600000}"/>
    <cellStyle name="Output 6 2 2 3 2 2" xfId="17923" xr:uid="{00000000-0005-0000-0000-000018600000}"/>
    <cellStyle name="Output 6 2 2 3 2 2 2" xfId="32755" xr:uid="{00000000-0005-0000-0000-000019600000}"/>
    <cellStyle name="Output 6 2 2 3 2 3" xfId="19525" xr:uid="{00000000-0005-0000-0000-00001A600000}"/>
    <cellStyle name="Output 6 2 2 3 3" xfId="15167" xr:uid="{00000000-0005-0000-0000-00001B600000}"/>
    <cellStyle name="Output 6 2 2 3 3 2" xfId="29999" xr:uid="{00000000-0005-0000-0000-00001C600000}"/>
    <cellStyle name="Output 6 2 2 3 4" xfId="11526" xr:uid="{00000000-0005-0000-0000-00001D600000}"/>
    <cellStyle name="Output 6 2 2 3 4 2" xfId="26358" xr:uid="{00000000-0005-0000-0000-00001E600000}"/>
    <cellStyle name="Output 6 2 2 4" xfId="2833" xr:uid="{00000000-0005-0000-0000-00001F600000}"/>
    <cellStyle name="Output 6 2 2 4 2" xfId="6924" xr:uid="{00000000-0005-0000-0000-000020600000}"/>
    <cellStyle name="Output 6 2 2 4 2 2" xfId="16817" xr:uid="{00000000-0005-0000-0000-000021600000}"/>
    <cellStyle name="Output 6 2 2 4 2 2 2" xfId="31649" xr:uid="{00000000-0005-0000-0000-000022600000}"/>
    <cellStyle name="Output 6 2 2 4 2 3" xfId="18816" xr:uid="{00000000-0005-0000-0000-000023600000}"/>
    <cellStyle name="Output 6 2 2 4 3" xfId="13171" xr:uid="{00000000-0005-0000-0000-000024600000}"/>
    <cellStyle name="Output 6 2 2 4 3 2" xfId="28003" xr:uid="{00000000-0005-0000-0000-000025600000}"/>
    <cellStyle name="Output 6 2 2 4 4" xfId="10470" xr:uid="{00000000-0005-0000-0000-000026600000}"/>
    <cellStyle name="Output 6 2 2 4 4 2" xfId="25302" xr:uid="{00000000-0005-0000-0000-000027600000}"/>
    <cellStyle name="Output 6 2 2 5" xfId="5997" xr:uid="{00000000-0005-0000-0000-000028600000}"/>
    <cellStyle name="Output 6 2 2 5 2" xfId="16189" xr:uid="{00000000-0005-0000-0000-000029600000}"/>
    <cellStyle name="Output 6 2 2 5 2 2" xfId="31021" xr:uid="{00000000-0005-0000-0000-00002A600000}"/>
    <cellStyle name="Output 6 2 2 5 3" xfId="18458" xr:uid="{00000000-0005-0000-0000-00002B600000}"/>
    <cellStyle name="Output 6 2 2 6" xfId="12259" xr:uid="{00000000-0005-0000-0000-00002C600000}"/>
    <cellStyle name="Output 6 2 2 6 2" xfId="27091" xr:uid="{00000000-0005-0000-0000-00002D600000}"/>
    <cellStyle name="Output 6 2 2 7" xfId="9855" xr:uid="{00000000-0005-0000-0000-00002E600000}"/>
    <cellStyle name="Output 6 2 2 7 2" xfId="24781" xr:uid="{00000000-0005-0000-0000-00002F600000}"/>
    <cellStyle name="Output 6 2 3" xfId="4130" xr:uid="{00000000-0005-0000-0000-000030600000}"/>
    <cellStyle name="Output 6 2 3 2" xfId="8174" xr:uid="{00000000-0005-0000-0000-000031600000}"/>
    <cellStyle name="Output 6 2 3 2 2" xfId="17533" xr:uid="{00000000-0005-0000-0000-000032600000}"/>
    <cellStyle name="Output 6 2 3 2 2 2" xfId="32365" xr:uid="{00000000-0005-0000-0000-000033600000}"/>
    <cellStyle name="Output 6 2 3 2 3" xfId="19277" xr:uid="{00000000-0005-0000-0000-000034600000}"/>
    <cellStyle name="Output 6 2 3 3" xfId="14462" xr:uid="{00000000-0005-0000-0000-000035600000}"/>
    <cellStyle name="Output 6 2 3 3 2" xfId="29294" xr:uid="{00000000-0005-0000-0000-000036600000}"/>
    <cellStyle name="Output 6 2 3 4" xfId="11151" xr:uid="{00000000-0005-0000-0000-000037600000}"/>
    <cellStyle name="Output 6 2 3 4 2" xfId="25983" xr:uid="{00000000-0005-0000-0000-000038600000}"/>
    <cellStyle name="Output 6 2 4" xfId="4423" xr:uid="{00000000-0005-0000-0000-000039600000}"/>
    <cellStyle name="Output 6 2 4 2" xfId="8462" xr:uid="{00000000-0005-0000-0000-00003A600000}"/>
    <cellStyle name="Output 6 2 4 2 2" xfId="17683" xr:uid="{00000000-0005-0000-0000-00003B600000}"/>
    <cellStyle name="Output 6 2 4 2 2 2" xfId="32515" xr:uid="{00000000-0005-0000-0000-00003C600000}"/>
    <cellStyle name="Output 6 2 4 2 3" xfId="19365" xr:uid="{00000000-0005-0000-0000-00003D600000}"/>
    <cellStyle name="Output 6 2 4 3" xfId="14752" xr:uid="{00000000-0005-0000-0000-00003E600000}"/>
    <cellStyle name="Output 6 2 4 3 2" xfId="29584" xr:uid="{00000000-0005-0000-0000-00003F600000}"/>
    <cellStyle name="Output 6 2 4 4" xfId="11291" xr:uid="{00000000-0005-0000-0000-000040600000}"/>
    <cellStyle name="Output 6 2 4 4 2" xfId="26123" xr:uid="{00000000-0005-0000-0000-000041600000}"/>
    <cellStyle name="Output 6 2 5" xfId="2413" xr:uid="{00000000-0005-0000-0000-000042600000}"/>
    <cellStyle name="Output 6 2 5 2" xfId="6525" xr:uid="{00000000-0005-0000-0000-000043600000}"/>
    <cellStyle name="Output 6 2 5 2 2" xfId="16581" xr:uid="{00000000-0005-0000-0000-000044600000}"/>
    <cellStyle name="Output 6 2 5 2 2 2" xfId="31413" xr:uid="{00000000-0005-0000-0000-000045600000}"/>
    <cellStyle name="Output 6 2 5 2 3" xfId="18653" xr:uid="{00000000-0005-0000-0000-000046600000}"/>
    <cellStyle name="Output 6 2 5 3" xfId="12752" xr:uid="{00000000-0005-0000-0000-000047600000}"/>
    <cellStyle name="Output 6 2 5 3 2" xfId="27584" xr:uid="{00000000-0005-0000-0000-000048600000}"/>
    <cellStyle name="Output 6 2 5 4" xfId="10231" xr:uid="{00000000-0005-0000-0000-000049600000}"/>
    <cellStyle name="Output 6 2 5 4 2" xfId="25063" xr:uid="{00000000-0005-0000-0000-00004A600000}"/>
    <cellStyle name="Output 6 2 6" xfId="5538" xr:uid="{00000000-0005-0000-0000-00004B600000}"/>
    <cellStyle name="Output 6 2 6 2" xfId="15773" xr:uid="{00000000-0005-0000-0000-00004C600000}"/>
    <cellStyle name="Output 6 2 6 2 2" xfId="30605" xr:uid="{00000000-0005-0000-0000-00004D600000}"/>
    <cellStyle name="Output 6 2 6 3" xfId="18295" xr:uid="{00000000-0005-0000-0000-00004E600000}"/>
    <cellStyle name="Output 6 2 7" xfId="11788" xr:uid="{00000000-0005-0000-0000-00004F600000}"/>
    <cellStyle name="Output 6 2 7 2" xfId="26620" xr:uid="{00000000-0005-0000-0000-000050600000}"/>
    <cellStyle name="Output 6 2 8" xfId="9459" xr:uid="{00000000-0005-0000-0000-000051600000}"/>
    <cellStyle name="Output 6 2 8 2" xfId="19763" xr:uid="{00000000-0005-0000-0000-000052600000}"/>
    <cellStyle name="Output 6 3" xfId="1531" xr:uid="{00000000-0005-0000-0000-000053600000}"/>
    <cellStyle name="Output 6 3 2" xfId="2028" xr:uid="{00000000-0005-0000-0000-000054600000}"/>
    <cellStyle name="Output 6 3 2 2" xfId="3766" xr:uid="{00000000-0005-0000-0000-000055600000}"/>
    <cellStyle name="Output 6 3 2 2 2" xfId="7822" xr:uid="{00000000-0005-0000-0000-000056600000}"/>
    <cellStyle name="Output 6 3 2 2 2 2" xfId="17356" xr:uid="{00000000-0005-0000-0000-000057600000}"/>
    <cellStyle name="Output 6 3 2 2 2 2 2" xfId="32188" xr:uid="{00000000-0005-0000-0000-000058600000}"/>
    <cellStyle name="Output 6 3 2 2 2 3" xfId="19150" xr:uid="{00000000-0005-0000-0000-000059600000}"/>
    <cellStyle name="Output 6 3 2 2 3" xfId="14101" xr:uid="{00000000-0005-0000-0000-00005A600000}"/>
    <cellStyle name="Output 6 3 2 2 3 2" xfId="28933" xr:uid="{00000000-0005-0000-0000-00005B600000}"/>
    <cellStyle name="Output 6 3 2 2 4" xfId="10972" xr:uid="{00000000-0005-0000-0000-00005C600000}"/>
    <cellStyle name="Output 6 3 2 2 4 2" xfId="25804" xr:uid="{00000000-0005-0000-0000-00005D600000}"/>
    <cellStyle name="Output 6 3 2 3" xfId="4996" xr:uid="{00000000-0005-0000-0000-00005E600000}"/>
    <cellStyle name="Output 6 3 2 3 2" xfId="9035" xr:uid="{00000000-0005-0000-0000-00005F600000}"/>
    <cellStyle name="Output 6 3 2 3 2 2" xfId="17973" xr:uid="{00000000-0005-0000-0000-000060600000}"/>
    <cellStyle name="Output 6 3 2 3 2 2 2" xfId="32805" xr:uid="{00000000-0005-0000-0000-000061600000}"/>
    <cellStyle name="Output 6 3 2 3 2 3" xfId="19557" xr:uid="{00000000-0005-0000-0000-000062600000}"/>
    <cellStyle name="Output 6 3 2 3 3" xfId="15318" xr:uid="{00000000-0005-0000-0000-000063600000}"/>
    <cellStyle name="Output 6 3 2 3 3 2" xfId="30150" xr:uid="{00000000-0005-0000-0000-000064600000}"/>
    <cellStyle name="Output 6 3 2 3 4" xfId="11574" xr:uid="{00000000-0005-0000-0000-000065600000}"/>
    <cellStyle name="Output 6 3 2 3 4 2" xfId="26406" xr:uid="{00000000-0005-0000-0000-000066600000}"/>
    <cellStyle name="Output 6 3 2 4" xfId="2986" xr:uid="{00000000-0005-0000-0000-000067600000}"/>
    <cellStyle name="Output 6 3 2 4 2" xfId="7066" xr:uid="{00000000-0005-0000-0000-000068600000}"/>
    <cellStyle name="Output 6 3 2 4 2 2" xfId="16865" xr:uid="{00000000-0005-0000-0000-000069600000}"/>
    <cellStyle name="Output 6 3 2 4 2 2 2" xfId="31697" xr:uid="{00000000-0005-0000-0000-00006A600000}"/>
    <cellStyle name="Output 6 3 2 4 2 3" xfId="18849" xr:uid="{00000000-0005-0000-0000-00006B600000}"/>
    <cellStyle name="Output 6 3 2 4 3" xfId="13324" xr:uid="{00000000-0005-0000-0000-00006C600000}"/>
    <cellStyle name="Output 6 3 2 4 3 2" xfId="28156" xr:uid="{00000000-0005-0000-0000-00006D600000}"/>
    <cellStyle name="Output 6 3 2 4 4" xfId="10520" xr:uid="{00000000-0005-0000-0000-00006E600000}"/>
    <cellStyle name="Output 6 3 2 4 4 2" xfId="25352" xr:uid="{00000000-0005-0000-0000-00006F600000}"/>
    <cellStyle name="Output 6 3 2 5" xfId="6158" xr:uid="{00000000-0005-0000-0000-000070600000}"/>
    <cellStyle name="Output 6 3 2 5 2" xfId="16345" xr:uid="{00000000-0005-0000-0000-000071600000}"/>
    <cellStyle name="Output 6 3 2 5 2 2" xfId="31177" xr:uid="{00000000-0005-0000-0000-000072600000}"/>
    <cellStyle name="Output 6 3 2 5 3" xfId="18490" xr:uid="{00000000-0005-0000-0000-000073600000}"/>
    <cellStyle name="Output 6 3 2 6" xfId="12415" xr:uid="{00000000-0005-0000-0000-000074600000}"/>
    <cellStyle name="Output 6 3 2 6 2" xfId="27247" xr:uid="{00000000-0005-0000-0000-000075600000}"/>
    <cellStyle name="Output 6 3 2 7" xfId="9997" xr:uid="{00000000-0005-0000-0000-000076600000}"/>
    <cellStyle name="Output 6 3 2 7 2" xfId="24829" xr:uid="{00000000-0005-0000-0000-000077600000}"/>
    <cellStyle name="Output 6 3 3" xfId="3176" xr:uid="{00000000-0005-0000-0000-000078600000}"/>
    <cellStyle name="Output 6 3 3 2" xfId="7240" xr:uid="{00000000-0005-0000-0000-000079600000}"/>
    <cellStyle name="Output 6 3 3 2 2" xfId="17014" xr:uid="{00000000-0005-0000-0000-00007A600000}"/>
    <cellStyle name="Output 6 3 3 2 2 2" xfId="31846" xr:uid="{00000000-0005-0000-0000-00007B600000}"/>
    <cellStyle name="Output 6 3 3 2 3" xfId="18952" xr:uid="{00000000-0005-0000-0000-00007C600000}"/>
    <cellStyle name="Output 6 3 3 3" xfId="13514" xr:uid="{00000000-0005-0000-0000-00007D600000}"/>
    <cellStyle name="Output 6 3 3 3 2" xfId="28346" xr:uid="{00000000-0005-0000-0000-00007E600000}"/>
    <cellStyle name="Output 6 3 3 4" xfId="10664" xr:uid="{00000000-0005-0000-0000-00007F600000}"/>
    <cellStyle name="Output 6 3 3 4 2" xfId="25496" xr:uid="{00000000-0005-0000-0000-000080600000}"/>
    <cellStyle name="Output 6 3 4" xfId="4576" xr:uid="{00000000-0005-0000-0000-000081600000}"/>
    <cellStyle name="Output 6 3 4 2" xfId="8615" xr:uid="{00000000-0005-0000-0000-000082600000}"/>
    <cellStyle name="Output 6 3 4 2 2" xfId="17733" xr:uid="{00000000-0005-0000-0000-000083600000}"/>
    <cellStyle name="Output 6 3 4 2 2 2" xfId="32565" xr:uid="{00000000-0005-0000-0000-000084600000}"/>
    <cellStyle name="Output 6 3 4 2 3" xfId="19397" xr:uid="{00000000-0005-0000-0000-000085600000}"/>
    <cellStyle name="Output 6 3 4 3" xfId="14903" xr:uid="{00000000-0005-0000-0000-000086600000}"/>
    <cellStyle name="Output 6 3 4 3 2" xfId="29735" xr:uid="{00000000-0005-0000-0000-000087600000}"/>
    <cellStyle name="Output 6 3 4 4" xfId="11339" xr:uid="{00000000-0005-0000-0000-000088600000}"/>
    <cellStyle name="Output 6 3 4 4 2" xfId="26171" xr:uid="{00000000-0005-0000-0000-000089600000}"/>
    <cellStyle name="Output 6 3 5" xfId="2566" xr:uid="{00000000-0005-0000-0000-00008A600000}"/>
    <cellStyle name="Output 6 3 5 2" xfId="6672" xr:uid="{00000000-0005-0000-0000-00008B600000}"/>
    <cellStyle name="Output 6 3 5 2 2" xfId="16630" xr:uid="{00000000-0005-0000-0000-00008C600000}"/>
    <cellStyle name="Output 6 3 5 2 2 2" xfId="31462" xr:uid="{00000000-0005-0000-0000-00008D600000}"/>
    <cellStyle name="Output 6 3 5 2 3" xfId="18685" xr:uid="{00000000-0005-0000-0000-00008E600000}"/>
    <cellStyle name="Output 6 3 5 3" xfId="12904" xr:uid="{00000000-0005-0000-0000-00008F600000}"/>
    <cellStyle name="Output 6 3 5 3 2" xfId="27736" xr:uid="{00000000-0005-0000-0000-000090600000}"/>
    <cellStyle name="Output 6 3 5 4" xfId="10280" xr:uid="{00000000-0005-0000-0000-000091600000}"/>
    <cellStyle name="Output 6 3 5 4 2" xfId="25112" xr:uid="{00000000-0005-0000-0000-000092600000}"/>
    <cellStyle name="Output 6 3 6" xfId="5689" xr:uid="{00000000-0005-0000-0000-000093600000}"/>
    <cellStyle name="Output 6 3 6 2" xfId="15924" xr:uid="{00000000-0005-0000-0000-000094600000}"/>
    <cellStyle name="Output 6 3 6 2 2" xfId="30756" xr:uid="{00000000-0005-0000-0000-000095600000}"/>
    <cellStyle name="Output 6 3 6 3" xfId="18327" xr:uid="{00000000-0005-0000-0000-000096600000}"/>
    <cellStyle name="Output 6 3 7" xfId="11944" xr:uid="{00000000-0005-0000-0000-000097600000}"/>
    <cellStyle name="Output 6 3 7 2" xfId="26776" xr:uid="{00000000-0005-0000-0000-000098600000}"/>
    <cellStyle name="Output 6 3 8" xfId="9602" xr:uid="{00000000-0005-0000-0000-000099600000}"/>
    <cellStyle name="Output 6 3 8 2" xfId="19904" xr:uid="{00000000-0005-0000-0000-00009A600000}"/>
    <cellStyle name="Output 6 4" xfId="1586" xr:uid="{00000000-0005-0000-0000-00009B600000}"/>
    <cellStyle name="Output 6 4 2" xfId="2083" xr:uid="{00000000-0005-0000-0000-00009C600000}"/>
    <cellStyle name="Output 6 4 2 2" xfId="3757" xr:uid="{00000000-0005-0000-0000-00009D600000}"/>
    <cellStyle name="Output 6 4 2 2 2" xfId="7813" xr:uid="{00000000-0005-0000-0000-00009E600000}"/>
    <cellStyle name="Output 6 4 2 2 2 2" xfId="17349" xr:uid="{00000000-0005-0000-0000-00009F600000}"/>
    <cellStyle name="Output 6 4 2 2 2 2 2" xfId="32181" xr:uid="{00000000-0005-0000-0000-0000A0600000}"/>
    <cellStyle name="Output 6 4 2 2 2 3" xfId="19143" xr:uid="{00000000-0005-0000-0000-0000A1600000}"/>
    <cellStyle name="Output 6 4 2 2 3" xfId="14092" xr:uid="{00000000-0005-0000-0000-0000A2600000}"/>
    <cellStyle name="Output 6 4 2 2 3 2" xfId="28924" xr:uid="{00000000-0005-0000-0000-0000A3600000}"/>
    <cellStyle name="Output 6 4 2 2 4" xfId="10965" xr:uid="{00000000-0005-0000-0000-0000A4600000}"/>
    <cellStyle name="Output 6 4 2 2 4 2" xfId="25797" xr:uid="{00000000-0005-0000-0000-0000A5600000}"/>
    <cellStyle name="Output 6 4 2 3" xfId="5051" xr:uid="{00000000-0005-0000-0000-0000A6600000}"/>
    <cellStyle name="Output 6 4 2 3 2" xfId="9090" xr:uid="{00000000-0005-0000-0000-0000A7600000}"/>
    <cellStyle name="Output 6 4 2 3 2 2" xfId="18023" xr:uid="{00000000-0005-0000-0000-0000A8600000}"/>
    <cellStyle name="Output 6 4 2 3 2 2 2" xfId="32855" xr:uid="{00000000-0005-0000-0000-0000A9600000}"/>
    <cellStyle name="Output 6 4 2 3 2 3" xfId="19589" xr:uid="{00000000-0005-0000-0000-0000AA600000}"/>
    <cellStyle name="Output 6 4 2 3 3" xfId="15372" xr:uid="{00000000-0005-0000-0000-0000AB600000}"/>
    <cellStyle name="Output 6 4 2 3 3 2" xfId="30204" xr:uid="{00000000-0005-0000-0000-0000AC600000}"/>
    <cellStyle name="Output 6 4 2 3 4" xfId="11623" xr:uid="{00000000-0005-0000-0000-0000AD600000}"/>
    <cellStyle name="Output 6 4 2 3 4 2" xfId="26455" xr:uid="{00000000-0005-0000-0000-0000AE600000}"/>
    <cellStyle name="Output 6 4 2 4" xfId="3041" xr:uid="{00000000-0005-0000-0000-0000AF600000}"/>
    <cellStyle name="Output 6 4 2 4 2" xfId="7116" xr:uid="{00000000-0005-0000-0000-0000B0600000}"/>
    <cellStyle name="Output 6 4 2 4 2 2" xfId="16914" xr:uid="{00000000-0005-0000-0000-0000B1600000}"/>
    <cellStyle name="Output 6 4 2 4 2 2 2" xfId="31746" xr:uid="{00000000-0005-0000-0000-0000B2600000}"/>
    <cellStyle name="Output 6 4 2 4 2 3" xfId="18882" xr:uid="{00000000-0005-0000-0000-0000B3600000}"/>
    <cellStyle name="Output 6 4 2 4 3" xfId="13379" xr:uid="{00000000-0005-0000-0000-0000B4600000}"/>
    <cellStyle name="Output 6 4 2 4 3 2" xfId="28211" xr:uid="{00000000-0005-0000-0000-0000B5600000}"/>
    <cellStyle name="Output 6 4 2 4 4" xfId="10570" xr:uid="{00000000-0005-0000-0000-0000B6600000}"/>
    <cellStyle name="Output 6 4 2 4 4 2" xfId="25402" xr:uid="{00000000-0005-0000-0000-0000B7600000}"/>
    <cellStyle name="Output 6 4 2 5" xfId="6208" xr:uid="{00000000-0005-0000-0000-0000B8600000}"/>
    <cellStyle name="Output 6 4 2 5 2" xfId="16394" xr:uid="{00000000-0005-0000-0000-0000B9600000}"/>
    <cellStyle name="Output 6 4 2 5 2 2" xfId="31226" xr:uid="{00000000-0005-0000-0000-0000BA600000}"/>
    <cellStyle name="Output 6 4 2 5 3" xfId="18523" xr:uid="{00000000-0005-0000-0000-0000BB600000}"/>
    <cellStyle name="Output 6 4 2 6" xfId="12464" xr:uid="{00000000-0005-0000-0000-0000BC600000}"/>
    <cellStyle name="Output 6 4 2 6 2" xfId="27296" xr:uid="{00000000-0005-0000-0000-0000BD600000}"/>
    <cellStyle name="Output 6 4 2 7" xfId="10046" xr:uid="{00000000-0005-0000-0000-0000BE600000}"/>
    <cellStyle name="Output 6 4 2 7 2" xfId="24878" xr:uid="{00000000-0005-0000-0000-0000BF600000}"/>
    <cellStyle name="Output 6 4 3" xfId="3955" xr:uid="{00000000-0005-0000-0000-0000C0600000}"/>
    <cellStyle name="Output 6 4 3 2" xfId="8005" xr:uid="{00000000-0005-0000-0000-0000C1600000}"/>
    <cellStyle name="Output 6 4 3 2 2" xfId="17447" xr:uid="{00000000-0005-0000-0000-0000C2600000}"/>
    <cellStyle name="Output 6 4 3 2 2 2" xfId="32279" xr:uid="{00000000-0005-0000-0000-0000C3600000}"/>
    <cellStyle name="Output 6 4 3 2 3" xfId="19213" xr:uid="{00000000-0005-0000-0000-0000C4600000}"/>
    <cellStyle name="Output 6 4 3 3" xfId="14288" xr:uid="{00000000-0005-0000-0000-0000C5600000}"/>
    <cellStyle name="Output 6 4 3 3 2" xfId="29120" xr:uid="{00000000-0005-0000-0000-0000C6600000}"/>
    <cellStyle name="Output 6 4 3 4" xfId="11062" xr:uid="{00000000-0005-0000-0000-0000C7600000}"/>
    <cellStyle name="Output 6 4 3 4 2" xfId="25894" xr:uid="{00000000-0005-0000-0000-0000C8600000}"/>
    <cellStyle name="Output 6 4 4" xfId="4631" xr:uid="{00000000-0005-0000-0000-0000C9600000}"/>
    <cellStyle name="Output 6 4 4 2" xfId="8670" xr:uid="{00000000-0005-0000-0000-0000CA600000}"/>
    <cellStyle name="Output 6 4 4 2 2" xfId="17783" xr:uid="{00000000-0005-0000-0000-0000CB600000}"/>
    <cellStyle name="Output 6 4 4 2 2 2" xfId="32615" xr:uid="{00000000-0005-0000-0000-0000CC600000}"/>
    <cellStyle name="Output 6 4 4 2 3" xfId="19429" xr:uid="{00000000-0005-0000-0000-0000CD600000}"/>
    <cellStyle name="Output 6 4 4 3" xfId="14957" xr:uid="{00000000-0005-0000-0000-0000CE600000}"/>
    <cellStyle name="Output 6 4 4 3 2" xfId="29789" xr:uid="{00000000-0005-0000-0000-0000CF600000}"/>
    <cellStyle name="Output 6 4 4 4" xfId="11388" xr:uid="{00000000-0005-0000-0000-0000D0600000}"/>
    <cellStyle name="Output 6 4 4 4 2" xfId="26220" xr:uid="{00000000-0005-0000-0000-0000D1600000}"/>
    <cellStyle name="Output 6 4 5" xfId="2621" xr:uid="{00000000-0005-0000-0000-0000D2600000}"/>
    <cellStyle name="Output 6 4 5 2" xfId="6722" xr:uid="{00000000-0005-0000-0000-0000D3600000}"/>
    <cellStyle name="Output 6 4 5 2 2" xfId="16679" xr:uid="{00000000-0005-0000-0000-0000D4600000}"/>
    <cellStyle name="Output 6 4 5 2 2 2" xfId="31511" xr:uid="{00000000-0005-0000-0000-0000D5600000}"/>
    <cellStyle name="Output 6 4 5 2 3" xfId="18718" xr:uid="{00000000-0005-0000-0000-0000D6600000}"/>
    <cellStyle name="Output 6 4 5 3" xfId="12959" xr:uid="{00000000-0005-0000-0000-0000D7600000}"/>
    <cellStyle name="Output 6 4 5 3 2" xfId="27791" xr:uid="{00000000-0005-0000-0000-0000D8600000}"/>
    <cellStyle name="Output 6 4 5 4" xfId="10330" xr:uid="{00000000-0005-0000-0000-0000D9600000}"/>
    <cellStyle name="Output 6 4 5 4 2" xfId="25162" xr:uid="{00000000-0005-0000-0000-0000DA600000}"/>
    <cellStyle name="Output 6 4 6" xfId="5738" xr:uid="{00000000-0005-0000-0000-0000DB600000}"/>
    <cellStyle name="Output 6 4 6 2" xfId="15973" xr:uid="{00000000-0005-0000-0000-0000DC600000}"/>
    <cellStyle name="Output 6 4 6 2 2" xfId="30805" xr:uid="{00000000-0005-0000-0000-0000DD600000}"/>
    <cellStyle name="Output 6 4 6 3" xfId="18359" xr:uid="{00000000-0005-0000-0000-0000DE600000}"/>
    <cellStyle name="Output 6 4 7" xfId="11993" xr:uid="{00000000-0005-0000-0000-0000DF600000}"/>
    <cellStyle name="Output 6 4 7 2" xfId="26825" xr:uid="{00000000-0005-0000-0000-0000E0600000}"/>
    <cellStyle name="Output 6 4 8" xfId="9652" xr:uid="{00000000-0005-0000-0000-0000E1600000}"/>
    <cellStyle name="Output 6 4 8 2" xfId="19953" xr:uid="{00000000-0005-0000-0000-0000E2600000}"/>
    <cellStyle name="Output 6 5" xfId="1636" xr:uid="{00000000-0005-0000-0000-0000E3600000}"/>
    <cellStyle name="Output 6 5 2" xfId="2133" xr:uid="{00000000-0005-0000-0000-0000E4600000}"/>
    <cellStyle name="Output 6 5 2 2" xfId="3912" xr:uid="{00000000-0005-0000-0000-0000E5600000}"/>
    <cellStyle name="Output 6 5 2 2 2" xfId="7963" xr:uid="{00000000-0005-0000-0000-0000E6600000}"/>
    <cellStyle name="Output 6 5 2 2 2 2" xfId="17427" xr:uid="{00000000-0005-0000-0000-0000E7600000}"/>
    <cellStyle name="Output 6 5 2 2 2 2 2" xfId="32259" xr:uid="{00000000-0005-0000-0000-0000E8600000}"/>
    <cellStyle name="Output 6 5 2 2 2 3" xfId="19200" xr:uid="{00000000-0005-0000-0000-0000E9600000}"/>
    <cellStyle name="Output 6 5 2 2 3" xfId="14245" xr:uid="{00000000-0005-0000-0000-0000EA600000}"/>
    <cellStyle name="Output 6 5 2 2 3 2" xfId="29077" xr:uid="{00000000-0005-0000-0000-0000EB600000}"/>
    <cellStyle name="Output 6 5 2 2 4" xfId="11043" xr:uid="{00000000-0005-0000-0000-0000EC600000}"/>
    <cellStyle name="Output 6 5 2 2 4 2" xfId="25875" xr:uid="{00000000-0005-0000-0000-0000ED600000}"/>
    <cellStyle name="Output 6 5 2 3" xfId="5101" xr:uid="{00000000-0005-0000-0000-0000EE600000}"/>
    <cellStyle name="Output 6 5 2 3 2" xfId="9140" xr:uid="{00000000-0005-0000-0000-0000EF600000}"/>
    <cellStyle name="Output 6 5 2 3 2 2" xfId="18068" xr:uid="{00000000-0005-0000-0000-0000F0600000}"/>
    <cellStyle name="Output 6 5 2 3 2 2 2" xfId="32900" xr:uid="{00000000-0005-0000-0000-0000F1600000}"/>
    <cellStyle name="Output 6 5 2 3 2 3" xfId="19621" xr:uid="{00000000-0005-0000-0000-0000F2600000}"/>
    <cellStyle name="Output 6 5 2 3 3" xfId="15421" xr:uid="{00000000-0005-0000-0000-0000F3600000}"/>
    <cellStyle name="Output 6 5 2 3 3 2" xfId="30253" xr:uid="{00000000-0005-0000-0000-0000F4600000}"/>
    <cellStyle name="Output 6 5 2 3 4" xfId="11667" xr:uid="{00000000-0005-0000-0000-0000F5600000}"/>
    <cellStyle name="Output 6 5 2 3 4 2" xfId="26499" xr:uid="{00000000-0005-0000-0000-0000F6600000}"/>
    <cellStyle name="Output 6 5 2 4" xfId="3091" xr:uid="{00000000-0005-0000-0000-0000F7600000}"/>
    <cellStyle name="Output 6 5 2 4 2" xfId="7161" xr:uid="{00000000-0005-0000-0000-0000F8600000}"/>
    <cellStyle name="Output 6 5 2 4 2 2" xfId="16958" xr:uid="{00000000-0005-0000-0000-0000F9600000}"/>
    <cellStyle name="Output 6 5 2 4 2 2 2" xfId="31790" xr:uid="{00000000-0005-0000-0000-0000FA600000}"/>
    <cellStyle name="Output 6 5 2 4 2 3" xfId="18915" xr:uid="{00000000-0005-0000-0000-0000FB600000}"/>
    <cellStyle name="Output 6 5 2 4 3" xfId="13429" xr:uid="{00000000-0005-0000-0000-0000FC600000}"/>
    <cellStyle name="Output 6 5 2 4 3 2" xfId="28261" xr:uid="{00000000-0005-0000-0000-0000FD600000}"/>
    <cellStyle name="Output 6 5 2 4 4" xfId="10615" xr:uid="{00000000-0005-0000-0000-0000FE600000}"/>
    <cellStyle name="Output 6 5 2 4 4 2" xfId="25447" xr:uid="{00000000-0005-0000-0000-0000FF600000}"/>
    <cellStyle name="Output 6 5 2 5" xfId="6253" xr:uid="{00000000-0005-0000-0000-000000610000}"/>
    <cellStyle name="Output 6 5 2 5 2" xfId="16438" xr:uid="{00000000-0005-0000-0000-000001610000}"/>
    <cellStyle name="Output 6 5 2 5 2 2" xfId="31270" xr:uid="{00000000-0005-0000-0000-000002610000}"/>
    <cellStyle name="Output 6 5 2 5 3" xfId="18556" xr:uid="{00000000-0005-0000-0000-000003610000}"/>
    <cellStyle name="Output 6 5 2 6" xfId="12508" xr:uid="{00000000-0005-0000-0000-000004610000}"/>
    <cellStyle name="Output 6 5 2 6 2" xfId="27340" xr:uid="{00000000-0005-0000-0000-000005610000}"/>
    <cellStyle name="Output 6 5 2 7" xfId="10090" xr:uid="{00000000-0005-0000-0000-000006610000}"/>
    <cellStyle name="Output 6 5 2 7 2" xfId="24922" xr:uid="{00000000-0005-0000-0000-000007610000}"/>
    <cellStyle name="Output 6 5 3" xfId="3688" xr:uid="{00000000-0005-0000-0000-000008610000}"/>
    <cellStyle name="Output 6 5 3 2" xfId="7745" xr:uid="{00000000-0005-0000-0000-000009610000}"/>
    <cellStyle name="Output 6 5 3 2 2" xfId="17316" xr:uid="{00000000-0005-0000-0000-00000A610000}"/>
    <cellStyle name="Output 6 5 3 2 2 2" xfId="32148" xr:uid="{00000000-0005-0000-0000-00000B610000}"/>
    <cellStyle name="Output 6 5 3 2 3" xfId="19123" xr:uid="{00000000-0005-0000-0000-00000C610000}"/>
    <cellStyle name="Output 6 5 3 3" xfId="14023" xr:uid="{00000000-0005-0000-0000-00000D610000}"/>
    <cellStyle name="Output 6 5 3 3 2" xfId="28855" xr:uid="{00000000-0005-0000-0000-00000E610000}"/>
    <cellStyle name="Output 6 5 3 4" xfId="10933" xr:uid="{00000000-0005-0000-0000-00000F610000}"/>
    <cellStyle name="Output 6 5 3 4 2" xfId="25765" xr:uid="{00000000-0005-0000-0000-000010610000}"/>
    <cellStyle name="Output 6 5 4" xfId="4681" xr:uid="{00000000-0005-0000-0000-000011610000}"/>
    <cellStyle name="Output 6 5 4 2" xfId="8720" xr:uid="{00000000-0005-0000-0000-000012610000}"/>
    <cellStyle name="Output 6 5 4 2 2" xfId="17828" xr:uid="{00000000-0005-0000-0000-000013610000}"/>
    <cellStyle name="Output 6 5 4 2 2 2" xfId="32660" xr:uid="{00000000-0005-0000-0000-000014610000}"/>
    <cellStyle name="Output 6 5 4 2 3" xfId="19461" xr:uid="{00000000-0005-0000-0000-000015610000}"/>
    <cellStyle name="Output 6 5 4 3" xfId="15006" xr:uid="{00000000-0005-0000-0000-000016610000}"/>
    <cellStyle name="Output 6 5 4 3 2" xfId="29838" xr:uid="{00000000-0005-0000-0000-000017610000}"/>
    <cellStyle name="Output 6 5 4 4" xfId="11432" xr:uid="{00000000-0005-0000-0000-000018610000}"/>
    <cellStyle name="Output 6 5 4 4 2" xfId="26264" xr:uid="{00000000-0005-0000-0000-000019610000}"/>
    <cellStyle name="Output 6 5 5" xfId="2671" xr:uid="{00000000-0005-0000-0000-00001A610000}"/>
    <cellStyle name="Output 6 5 5 2" xfId="6767" xr:uid="{00000000-0005-0000-0000-00001B610000}"/>
    <cellStyle name="Output 6 5 5 2 2" xfId="16723" xr:uid="{00000000-0005-0000-0000-00001C610000}"/>
    <cellStyle name="Output 6 5 5 2 2 2" xfId="31555" xr:uid="{00000000-0005-0000-0000-00001D610000}"/>
    <cellStyle name="Output 6 5 5 2 3" xfId="18751" xr:uid="{00000000-0005-0000-0000-00001E610000}"/>
    <cellStyle name="Output 6 5 5 3" xfId="13009" xr:uid="{00000000-0005-0000-0000-00001F610000}"/>
    <cellStyle name="Output 6 5 5 3 2" xfId="27841" xr:uid="{00000000-0005-0000-0000-000020610000}"/>
    <cellStyle name="Output 6 5 5 4" xfId="10375" xr:uid="{00000000-0005-0000-0000-000021610000}"/>
    <cellStyle name="Output 6 5 5 4 2" xfId="25207" xr:uid="{00000000-0005-0000-0000-000022610000}"/>
    <cellStyle name="Output 6 5 6" xfId="5783" xr:uid="{00000000-0005-0000-0000-000023610000}"/>
    <cellStyle name="Output 6 5 6 2" xfId="16017" xr:uid="{00000000-0005-0000-0000-000024610000}"/>
    <cellStyle name="Output 6 5 6 2 2" xfId="30849" xr:uid="{00000000-0005-0000-0000-000025610000}"/>
    <cellStyle name="Output 6 5 6 3" xfId="18392" xr:uid="{00000000-0005-0000-0000-000026610000}"/>
    <cellStyle name="Output 6 5 7" xfId="12037" xr:uid="{00000000-0005-0000-0000-000027610000}"/>
    <cellStyle name="Output 6 5 7 2" xfId="26869" xr:uid="{00000000-0005-0000-0000-000028610000}"/>
    <cellStyle name="Output 6 5 8" xfId="9697" xr:uid="{00000000-0005-0000-0000-000029610000}"/>
    <cellStyle name="Output 6 5 8 2" xfId="19997" xr:uid="{00000000-0005-0000-0000-00002A610000}"/>
    <cellStyle name="Output 6 6" xfId="1787" xr:uid="{00000000-0005-0000-0000-00002B610000}"/>
    <cellStyle name="Output 6 6 2" xfId="3637" xr:uid="{00000000-0005-0000-0000-00002C610000}"/>
    <cellStyle name="Output 6 6 2 2" xfId="7696" xr:uid="{00000000-0005-0000-0000-00002D610000}"/>
    <cellStyle name="Output 6 6 2 2 2" xfId="17295" xr:uid="{00000000-0005-0000-0000-00002E610000}"/>
    <cellStyle name="Output 6 6 2 2 2 2" xfId="32127" xr:uid="{00000000-0005-0000-0000-00002F610000}"/>
    <cellStyle name="Output 6 6 2 2 3" xfId="19108" xr:uid="{00000000-0005-0000-0000-000030610000}"/>
    <cellStyle name="Output 6 6 2 3" xfId="13972" xr:uid="{00000000-0005-0000-0000-000031610000}"/>
    <cellStyle name="Output 6 6 2 3 2" xfId="28804" xr:uid="{00000000-0005-0000-0000-000032610000}"/>
    <cellStyle name="Output 6 6 2 4" xfId="10911" xr:uid="{00000000-0005-0000-0000-000033610000}"/>
    <cellStyle name="Output 6 6 2 4 2" xfId="25743" xr:uid="{00000000-0005-0000-0000-000034610000}"/>
    <cellStyle name="Output 6 6 3" xfId="4765" xr:uid="{00000000-0005-0000-0000-000035610000}"/>
    <cellStyle name="Output 6 6 3 2" xfId="8804" xr:uid="{00000000-0005-0000-0000-000036610000}"/>
    <cellStyle name="Output 6 6 3 2 2" xfId="17876" xr:uid="{00000000-0005-0000-0000-000037610000}"/>
    <cellStyle name="Output 6 6 3 2 2 2" xfId="32708" xr:uid="{00000000-0005-0000-0000-000038610000}"/>
    <cellStyle name="Output 6 6 3 2 3" xfId="19493" xr:uid="{00000000-0005-0000-0000-000039610000}"/>
    <cellStyle name="Output 6 6 3 3" xfId="15089" xr:uid="{00000000-0005-0000-0000-00003A610000}"/>
    <cellStyle name="Output 6 6 3 3 2" xfId="29921" xr:uid="{00000000-0005-0000-0000-00003B610000}"/>
    <cellStyle name="Output 6 6 3 4" xfId="11479" xr:uid="{00000000-0005-0000-0000-00003C610000}"/>
    <cellStyle name="Output 6 6 3 4 2" xfId="26311" xr:uid="{00000000-0005-0000-0000-00003D610000}"/>
    <cellStyle name="Output 6 6 4" xfId="2755" xr:uid="{00000000-0005-0000-0000-00003E610000}"/>
    <cellStyle name="Output 6 6 4 2" xfId="6846" xr:uid="{00000000-0005-0000-0000-00003F610000}"/>
    <cellStyle name="Output 6 6 4 2 2" xfId="16770" xr:uid="{00000000-0005-0000-0000-000040610000}"/>
    <cellStyle name="Output 6 6 4 2 2 2" xfId="31602" xr:uid="{00000000-0005-0000-0000-000041610000}"/>
    <cellStyle name="Output 6 6 4 2 3" xfId="18784" xr:uid="{00000000-0005-0000-0000-000042610000}"/>
    <cellStyle name="Output 6 6 4 3" xfId="13093" xr:uid="{00000000-0005-0000-0000-000043610000}"/>
    <cellStyle name="Output 6 6 4 3 2" xfId="27925" xr:uid="{00000000-0005-0000-0000-000044610000}"/>
    <cellStyle name="Output 6 6 4 4" xfId="10423" xr:uid="{00000000-0005-0000-0000-000045610000}"/>
    <cellStyle name="Output 6 6 4 4 2" xfId="25255" xr:uid="{00000000-0005-0000-0000-000046610000}"/>
    <cellStyle name="Output 6 6 5" xfId="5919" xr:uid="{00000000-0005-0000-0000-000047610000}"/>
    <cellStyle name="Output 6 6 5 2" xfId="16111" xr:uid="{00000000-0005-0000-0000-000048610000}"/>
    <cellStyle name="Output 6 6 5 2 2" xfId="30943" xr:uid="{00000000-0005-0000-0000-000049610000}"/>
    <cellStyle name="Output 6 6 5 3" xfId="18426" xr:uid="{00000000-0005-0000-0000-00004A610000}"/>
    <cellStyle name="Output 6 6 6" xfId="12181" xr:uid="{00000000-0005-0000-0000-00004B610000}"/>
    <cellStyle name="Output 6 6 6 2" xfId="27013" xr:uid="{00000000-0005-0000-0000-00004C610000}"/>
    <cellStyle name="Output 6 6 7" xfId="9777" xr:uid="{00000000-0005-0000-0000-00004D610000}"/>
    <cellStyle name="Output 6 6 7 2" xfId="24734" xr:uid="{00000000-0005-0000-0000-00004E610000}"/>
    <cellStyle name="Output 6 7" xfId="2179" xr:uid="{00000000-0005-0000-0000-00004F610000}"/>
    <cellStyle name="Output 6 7 2" xfId="3974" xr:uid="{00000000-0005-0000-0000-000050610000}"/>
    <cellStyle name="Output 6 7 2 2" xfId="8023" xr:uid="{00000000-0005-0000-0000-000051610000}"/>
    <cellStyle name="Output 6 7 2 2 2" xfId="17455" xr:uid="{00000000-0005-0000-0000-000052610000}"/>
    <cellStyle name="Output 6 7 2 2 2 2" xfId="32287" xr:uid="{00000000-0005-0000-0000-000053610000}"/>
    <cellStyle name="Output 6 7 2 2 3" xfId="19219" xr:uid="{00000000-0005-0000-0000-000054610000}"/>
    <cellStyle name="Output 6 7 2 3" xfId="14307" xr:uid="{00000000-0005-0000-0000-000055610000}"/>
    <cellStyle name="Output 6 7 2 3 2" xfId="29139" xr:uid="{00000000-0005-0000-0000-000056610000}"/>
    <cellStyle name="Output 6 7 2 4" xfId="11071" xr:uid="{00000000-0005-0000-0000-000057610000}"/>
    <cellStyle name="Output 6 7 2 4 2" xfId="25903" xr:uid="{00000000-0005-0000-0000-000058610000}"/>
    <cellStyle name="Output 6 7 3" xfId="5147" xr:uid="{00000000-0005-0000-0000-000059610000}"/>
    <cellStyle name="Output 6 7 3 2" xfId="9186" xr:uid="{00000000-0005-0000-0000-00005A610000}"/>
    <cellStyle name="Output 6 7 3 2 2" xfId="18109" xr:uid="{00000000-0005-0000-0000-00005B610000}"/>
    <cellStyle name="Output 6 7 3 2 2 2" xfId="32941" xr:uid="{00000000-0005-0000-0000-00005C610000}"/>
    <cellStyle name="Output 6 7 3 2 3" xfId="19660" xr:uid="{00000000-0005-0000-0000-00005D610000}"/>
    <cellStyle name="Output 6 7 3 3" xfId="15465" xr:uid="{00000000-0005-0000-0000-00005E610000}"/>
    <cellStyle name="Output 6 7 3 3 2" xfId="30297" xr:uid="{00000000-0005-0000-0000-00005F610000}"/>
    <cellStyle name="Output 6 7 3 4" xfId="11706" xr:uid="{00000000-0005-0000-0000-000060610000}"/>
    <cellStyle name="Output 6 7 3 4 2" xfId="26538" xr:uid="{00000000-0005-0000-0000-000061610000}"/>
    <cellStyle name="Output 6 7 4" xfId="4177" xr:uid="{00000000-0005-0000-0000-000062610000}"/>
    <cellStyle name="Output 6 7 4 2" xfId="8218" xr:uid="{00000000-0005-0000-0000-000063610000}"/>
    <cellStyle name="Output 6 7 4 2 2" xfId="17565" xr:uid="{00000000-0005-0000-0000-000064610000}"/>
    <cellStyle name="Output 6 7 4 2 2 2" xfId="32397" xr:uid="{00000000-0005-0000-0000-000065610000}"/>
    <cellStyle name="Output 6 7 4 2 3" xfId="19303" xr:uid="{00000000-0005-0000-0000-000066610000}"/>
    <cellStyle name="Output 6 7 4 3" xfId="14509" xr:uid="{00000000-0005-0000-0000-000067610000}"/>
    <cellStyle name="Output 6 7 4 3 2" xfId="29341" xr:uid="{00000000-0005-0000-0000-000068610000}"/>
    <cellStyle name="Output 6 7 4 4" xfId="11185" xr:uid="{00000000-0005-0000-0000-000069610000}"/>
    <cellStyle name="Output 6 7 4 4 2" xfId="26017" xr:uid="{00000000-0005-0000-0000-00006A610000}"/>
    <cellStyle name="Output 6 7 5" xfId="6293" xr:uid="{00000000-0005-0000-0000-00006B610000}"/>
    <cellStyle name="Output 6 7 5 2" xfId="16477" xr:uid="{00000000-0005-0000-0000-00006C610000}"/>
    <cellStyle name="Output 6 7 5 2 2" xfId="31309" xr:uid="{00000000-0005-0000-0000-00006D610000}"/>
    <cellStyle name="Output 6 7 5 3" xfId="18596" xr:uid="{00000000-0005-0000-0000-00006E610000}"/>
    <cellStyle name="Output 6 7 6" xfId="12547" xr:uid="{00000000-0005-0000-0000-00006F610000}"/>
    <cellStyle name="Output 6 7 6 2" xfId="27379" xr:uid="{00000000-0005-0000-0000-000070610000}"/>
    <cellStyle name="Output 6 7 7" xfId="10129" xr:uid="{00000000-0005-0000-0000-000071610000}"/>
    <cellStyle name="Output 6 7 7 2" xfId="24961" xr:uid="{00000000-0005-0000-0000-000072610000}"/>
    <cellStyle name="Output 6 8" xfId="3751" xr:uid="{00000000-0005-0000-0000-000073610000}"/>
    <cellStyle name="Output 6 8 2" xfId="7807" xr:uid="{00000000-0005-0000-0000-000074610000}"/>
    <cellStyle name="Output 6 8 2 2" xfId="17347" xr:uid="{00000000-0005-0000-0000-000075610000}"/>
    <cellStyle name="Output 6 8 2 2 2" xfId="32179" xr:uid="{00000000-0005-0000-0000-000076610000}"/>
    <cellStyle name="Output 6 8 2 3" xfId="19141" xr:uid="{00000000-0005-0000-0000-000077610000}"/>
    <cellStyle name="Output 6 8 3" xfId="14086" xr:uid="{00000000-0005-0000-0000-000078610000}"/>
    <cellStyle name="Output 6 8 3 2" xfId="28918" xr:uid="{00000000-0005-0000-0000-000079610000}"/>
    <cellStyle name="Output 6 8 4" xfId="10963" xr:uid="{00000000-0005-0000-0000-00007A610000}"/>
    <cellStyle name="Output 6 8 4 2" xfId="25795" xr:uid="{00000000-0005-0000-0000-00007B610000}"/>
    <cellStyle name="Output 6 9" xfId="3306" xr:uid="{00000000-0005-0000-0000-00007C610000}"/>
    <cellStyle name="Output 6 9 2" xfId="7370" xr:uid="{00000000-0005-0000-0000-00007D610000}"/>
    <cellStyle name="Output 6 9 2 2" xfId="17107" xr:uid="{00000000-0005-0000-0000-00007E610000}"/>
    <cellStyle name="Output 6 9 2 2 2" xfId="31939" xr:uid="{00000000-0005-0000-0000-00007F610000}"/>
    <cellStyle name="Output 6 9 2 3" xfId="18991" xr:uid="{00000000-0005-0000-0000-000080610000}"/>
    <cellStyle name="Output 6 9 3" xfId="13643" xr:uid="{00000000-0005-0000-0000-000081610000}"/>
    <cellStyle name="Output 6 9 3 2" xfId="28475" xr:uid="{00000000-0005-0000-0000-000082610000}"/>
    <cellStyle name="Output 6 9 4" xfId="10731" xr:uid="{00000000-0005-0000-0000-000083610000}"/>
    <cellStyle name="Output 6 9 4 2" xfId="25563" xr:uid="{00000000-0005-0000-0000-000084610000}"/>
    <cellStyle name="Output 7" xfId="1243" xr:uid="{00000000-0005-0000-0000-000085610000}"/>
    <cellStyle name="Output 7 10" xfId="2329" xr:uid="{00000000-0005-0000-0000-000086610000}"/>
    <cellStyle name="Output 7 10 2" xfId="6441" xr:uid="{00000000-0005-0000-0000-000087610000}"/>
    <cellStyle name="Output 7 10 2 2" xfId="16534" xr:uid="{00000000-0005-0000-0000-000088610000}"/>
    <cellStyle name="Output 7 10 2 2 2" xfId="31366" xr:uid="{00000000-0005-0000-0000-000089610000}"/>
    <cellStyle name="Output 7 10 2 3" xfId="18622" xr:uid="{00000000-0005-0000-0000-00008A610000}"/>
    <cellStyle name="Output 7 10 3" xfId="12669" xr:uid="{00000000-0005-0000-0000-00008B610000}"/>
    <cellStyle name="Output 7 10 3 2" xfId="27501" xr:uid="{00000000-0005-0000-0000-00008C610000}"/>
    <cellStyle name="Output 7 10 4" xfId="10185" xr:uid="{00000000-0005-0000-0000-00008D610000}"/>
    <cellStyle name="Output 7 10 4 2" xfId="25017" xr:uid="{00000000-0005-0000-0000-00008E610000}"/>
    <cellStyle name="Output 7 11" xfId="5292" xr:uid="{00000000-0005-0000-0000-00008F610000}"/>
    <cellStyle name="Output 7 11 2" xfId="9300" xr:uid="{00000000-0005-0000-0000-000090610000}"/>
    <cellStyle name="Output 7 11 2 2" xfId="18167" xr:uid="{00000000-0005-0000-0000-000091610000}"/>
    <cellStyle name="Output 7 11 2 2 2" xfId="32999" xr:uid="{00000000-0005-0000-0000-000092610000}"/>
    <cellStyle name="Output 7 11 2 3" xfId="19686" xr:uid="{00000000-0005-0000-0000-000093610000}"/>
    <cellStyle name="Output 7 11 3" xfId="15608" xr:uid="{00000000-0005-0000-0000-000094610000}"/>
    <cellStyle name="Output 7 11 3 2" xfId="30440" xr:uid="{00000000-0005-0000-0000-000095610000}"/>
    <cellStyle name="Output 7 12" xfId="5450" xr:uid="{00000000-0005-0000-0000-000096610000}"/>
    <cellStyle name="Output 7 12 2" xfId="15686" xr:uid="{00000000-0005-0000-0000-000097610000}"/>
    <cellStyle name="Output 7 12 2 2" xfId="30518" xr:uid="{00000000-0005-0000-0000-000098610000}"/>
    <cellStyle name="Output 7 12 3" xfId="18263" xr:uid="{00000000-0005-0000-0000-000099610000}"/>
    <cellStyle name="Output 7 13" xfId="9341" xr:uid="{00000000-0005-0000-0000-00009A610000}"/>
    <cellStyle name="Output 7 13 2" xfId="24647" xr:uid="{00000000-0005-0000-0000-00009B610000}"/>
    <cellStyle name="Output 7 14" xfId="5330" xr:uid="{00000000-0005-0000-0000-00009C610000}"/>
    <cellStyle name="Output 7 14 2" xfId="18204" xr:uid="{00000000-0005-0000-0000-00009D610000}"/>
    <cellStyle name="Output 7 2" xfId="1362" xr:uid="{00000000-0005-0000-0000-00009E610000}"/>
    <cellStyle name="Output 7 2 2" xfId="1866" xr:uid="{00000000-0005-0000-0000-00009F610000}"/>
    <cellStyle name="Output 7 2 2 2" xfId="4046" xr:uid="{00000000-0005-0000-0000-0000A0610000}"/>
    <cellStyle name="Output 7 2 2 2 2" xfId="8093" xr:uid="{00000000-0005-0000-0000-0000A1610000}"/>
    <cellStyle name="Output 7 2 2 2 2 2" xfId="17490" xr:uid="{00000000-0005-0000-0000-0000A2610000}"/>
    <cellStyle name="Output 7 2 2 2 2 2 2" xfId="32322" xr:uid="{00000000-0005-0000-0000-0000A3610000}"/>
    <cellStyle name="Output 7 2 2 2 2 3" xfId="19246" xr:uid="{00000000-0005-0000-0000-0000A4610000}"/>
    <cellStyle name="Output 7 2 2 2 3" xfId="14378" xr:uid="{00000000-0005-0000-0000-0000A5610000}"/>
    <cellStyle name="Output 7 2 2 2 3 2" xfId="29210" xr:uid="{00000000-0005-0000-0000-0000A6610000}"/>
    <cellStyle name="Output 7 2 2 2 4" xfId="11106" xr:uid="{00000000-0005-0000-0000-0000A7610000}"/>
    <cellStyle name="Output 7 2 2 2 4 2" xfId="25938" xr:uid="{00000000-0005-0000-0000-0000A8610000}"/>
    <cellStyle name="Output 7 2 2 3" xfId="4844" xr:uid="{00000000-0005-0000-0000-0000A9610000}"/>
    <cellStyle name="Output 7 2 2 3 2" xfId="8883" xr:uid="{00000000-0005-0000-0000-0000AA610000}"/>
    <cellStyle name="Output 7 2 2 3 2 2" xfId="17924" xr:uid="{00000000-0005-0000-0000-0000AB610000}"/>
    <cellStyle name="Output 7 2 2 3 2 2 2" xfId="32756" xr:uid="{00000000-0005-0000-0000-0000AC610000}"/>
    <cellStyle name="Output 7 2 2 3 2 3" xfId="19526" xr:uid="{00000000-0005-0000-0000-0000AD610000}"/>
    <cellStyle name="Output 7 2 2 3 3" xfId="15168" xr:uid="{00000000-0005-0000-0000-0000AE610000}"/>
    <cellStyle name="Output 7 2 2 3 3 2" xfId="30000" xr:uid="{00000000-0005-0000-0000-0000AF610000}"/>
    <cellStyle name="Output 7 2 2 3 4" xfId="11527" xr:uid="{00000000-0005-0000-0000-0000B0610000}"/>
    <cellStyle name="Output 7 2 2 3 4 2" xfId="26359" xr:uid="{00000000-0005-0000-0000-0000B1610000}"/>
    <cellStyle name="Output 7 2 2 4" xfId="2834" xr:uid="{00000000-0005-0000-0000-0000B2610000}"/>
    <cellStyle name="Output 7 2 2 4 2" xfId="6925" xr:uid="{00000000-0005-0000-0000-0000B3610000}"/>
    <cellStyle name="Output 7 2 2 4 2 2" xfId="16818" xr:uid="{00000000-0005-0000-0000-0000B4610000}"/>
    <cellStyle name="Output 7 2 2 4 2 2 2" xfId="31650" xr:uid="{00000000-0005-0000-0000-0000B5610000}"/>
    <cellStyle name="Output 7 2 2 4 2 3" xfId="18817" xr:uid="{00000000-0005-0000-0000-0000B6610000}"/>
    <cellStyle name="Output 7 2 2 4 3" xfId="13172" xr:uid="{00000000-0005-0000-0000-0000B7610000}"/>
    <cellStyle name="Output 7 2 2 4 3 2" xfId="28004" xr:uid="{00000000-0005-0000-0000-0000B8610000}"/>
    <cellStyle name="Output 7 2 2 4 4" xfId="10471" xr:uid="{00000000-0005-0000-0000-0000B9610000}"/>
    <cellStyle name="Output 7 2 2 4 4 2" xfId="25303" xr:uid="{00000000-0005-0000-0000-0000BA610000}"/>
    <cellStyle name="Output 7 2 2 5" xfId="5998" xr:uid="{00000000-0005-0000-0000-0000BB610000}"/>
    <cellStyle name="Output 7 2 2 5 2" xfId="16190" xr:uid="{00000000-0005-0000-0000-0000BC610000}"/>
    <cellStyle name="Output 7 2 2 5 2 2" xfId="31022" xr:uid="{00000000-0005-0000-0000-0000BD610000}"/>
    <cellStyle name="Output 7 2 2 5 3" xfId="18459" xr:uid="{00000000-0005-0000-0000-0000BE610000}"/>
    <cellStyle name="Output 7 2 2 6" xfId="12260" xr:uid="{00000000-0005-0000-0000-0000BF610000}"/>
    <cellStyle name="Output 7 2 2 6 2" xfId="27092" xr:uid="{00000000-0005-0000-0000-0000C0610000}"/>
    <cellStyle name="Output 7 2 2 7" xfId="9856" xr:uid="{00000000-0005-0000-0000-0000C1610000}"/>
    <cellStyle name="Output 7 2 2 7 2" xfId="24782" xr:uid="{00000000-0005-0000-0000-0000C2610000}"/>
    <cellStyle name="Output 7 2 3" xfId="3554" xr:uid="{00000000-0005-0000-0000-0000C3610000}"/>
    <cellStyle name="Output 7 2 3 2" xfId="7616" xr:uid="{00000000-0005-0000-0000-0000C4610000}"/>
    <cellStyle name="Output 7 2 3 2 2" xfId="17254" xr:uid="{00000000-0005-0000-0000-0000C5610000}"/>
    <cellStyle name="Output 7 2 3 2 2 2" xfId="32086" xr:uid="{00000000-0005-0000-0000-0000C6610000}"/>
    <cellStyle name="Output 7 2 3 2 3" xfId="19077" xr:uid="{00000000-0005-0000-0000-0000C7610000}"/>
    <cellStyle name="Output 7 2 3 3" xfId="13890" xr:uid="{00000000-0005-0000-0000-0000C8610000}"/>
    <cellStyle name="Output 7 2 3 3 2" xfId="28722" xr:uid="{00000000-0005-0000-0000-0000C9610000}"/>
    <cellStyle name="Output 7 2 3 4" xfId="10871" xr:uid="{00000000-0005-0000-0000-0000CA610000}"/>
    <cellStyle name="Output 7 2 3 4 2" xfId="25703" xr:uid="{00000000-0005-0000-0000-0000CB610000}"/>
    <cellStyle name="Output 7 2 4" xfId="4424" xr:uid="{00000000-0005-0000-0000-0000CC610000}"/>
    <cellStyle name="Output 7 2 4 2" xfId="8463" xr:uid="{00000000-0005-0000-0000-0000CD610000}"/>
    <cellStyle name="Output 7 2 4 2 2" xfId="17684" xr:uid="{00000000-0005-0000-0000-0000CE610000}"/>
    <cellStyle name="Output 7 2 4 2 2 2" xfId="32516" xr:uid="{00000000-0005-0000-0000-0000CF610000}"/>
    <cellStyle name="Output 7 2 4 2 3" xfId="19366" xr:uid="{00000000-0005-0000-0000-0000D0610000}"/>
    <cellStyle name="Output 7 2 4 3" xfId="14753" xr:uid="{00000000-0005-0000-0000-0000D1610000}"/>
    <cellStyle name="Output 7 2 4 3 2" xfId="29585" xr:uid="{00000000-0005-0000-0000-0000D2610000}"/>
    <cellStyle name="Output 7 2 4 4" xfId="11292" xr:uid="{00000000-0005-0000-0000-0000D3610000}"/>
    <cellStyle name="Output 7 2 4 4 2" xfId="26124" xr:uid="{00000000-0005-0000-0000-0000D4610000}"/>
    <cellStyle name="Output 7 2 5" xfId="2414" xr:uid="{00000000-0005-0000-0000-0000D5610000}"/>
    <cellStyle name="Output 7 2 5 2" xfId="6526" xr:uid="{00000000-0005-0000-0000-0000D6610000}"/>
    <cellStyle name="Output 7 2 5 2 2" xfId="16582" xr:uid="{00000000-0005-0000-0000-0000D7610000}"/>
    <cellStyle name="Output 7 2 5 2 2 2" xfId="31414" xr:uid="{00000000-0005-0000-0000-0000D8610000}"/>
    <cellStyle name="Output 7 2 5 2 3" xfId="18654" xr:uid="{00000000-0005-0000-0000-0000D9610000}"/>
    <cellStyle name="Output 7 2 5 3" xfId="12753" xr:uid="{00000000-0005-0000-0000-0000DA610000}"/>
    <cellStyle name="Output 7 2 5 3 2" xfId="27585" xr:uid="{00000000-0005-0000-0000-0000DB610000}"/>
    <cellStyle name="Output 7 2 5 4" xfId="10232" xr:uid="{00000000-0005-0000-0000-0000DC610000}"/>
    <cellStyle name="Output 7 2 5 4 2" xfId="25064" xr:uid="{00000000-0005-0000-0000-0000DD610000}"/>
    <cellStyle name="Output 7 2 6" xfId="5539" xr:uid="{00000000-0005-0000-0000-0000DE610000}"/>
    <cellStyle name="Output 7 2 6 2" xfId="15774" xr:uid="{00000000-0005-0000-0000-0000DF610000}"/>
    <cellStyle name="Output 7 2 6 2 2" xfId="30606" xr:uid="{00000000-0005-0000-0000-0000E0610000}"/>
    <cellStyle name="Output 7 2 6 3" xfId="18296" xr:uid="{00000000-0005-0000-0000-0000E1610000}"/>
    <cellStyle name="Output 7 2 7" xfId="11789" xr:uid="{00000000-0005-0000-0000-0000E2610000}"/>
    <cellStyle name="Output 7 2 7 2" xfId="26621" xr:uid="{00000000-0005-0000-0000-0000E3610000}"/>
    <cellStyle name="Output 7 2 8" xfId="9460" xr:uid="{00000000-0005-0000-0000-0000E4610000}"/>
    <cellStyle name="Output 7 2 8 2" xfId="19764" xr:uid="{00000000-0005-0000-0000-0000E5610000}"/>
    <cellStyle name="Output 7 3" xfId="1532" xr:uid="{00000000-0005-0000-0000-0000E6610000}"/>
    <cellStyle name="Output 7 3 2" xfId="2029" xr:uid="{00000000-0005-0000-0000-0000E7610000}"/>
    <cellStyle name="Output 7 3 2 2" xfId="3639" xr:uid="{00000000-0005-0000-0000-0000E8610000}"/>
    <cellStyle name="Output 7 3 2 2 2" xfId="7698" xr:uid="{00000000-0005-0000-0000-0000E9610000}"/>
    <cellStyle name="Output 7 3 2 2 2 2" xfId="17296" xr:uid="{00000000-0005-0000-0000-0000EA610000}"/>
    <cellStyle name="Output 7 3 2 2 2 2 2" xfId="32128" xr:uid="{00000000-0005-0000-0000-0000EB610000}"/>
    <cellStyle name="Output 7 3 2 2 2 3" xfId="19110" xr:uid="{00000000-0005-0000-0000-0000EC610000}"/>
    <cellStyle name="Output 7 3 2 2 3" xfId="13974" xr:uid="{00000000-0005-0000-0000-0000ED610000}"/>
    <cellStyle name="Output 7 3 2 2 3 2" xfId="28806" xr:uid="{00000000-0005-0000-0000-0000EE610000}"/>
    <cellStyle name="Output 7 3 2 2 4" xfId="10912" xr:uid="{00000000-0005-0000-0000-0000EF610000}"/>
    <cellStyle name="Output 7 3 2 2 4 2" xfId="25744" xr:uid="{00000000-0005-0000-0000-0000F0610000}"/>
    <cellStyle name="Output 7 3 2 3" xfId="4997" xr:uid="{00000000-0005-0000-0000-0000F1610000}"/>
    <cellStyle name="Output 7 3 2 3 2" xfId="9036" xr:uid="{00000000-0005-0000-0000-0000F2610000}"/>
    <cellStyle name="Output 7 3 2 3 2 2" xfId="17974" xr:uid="{00000000-0005-0000-0000-0000F3610000}"/>
    <cellStyle name="Output 7 3 2 3 2 2 2" xfId="32806" xr:uid="{00000000-0005-0000-0000-0000F4610000}"/>
    <cellStyle name="Output 7 3 2 3 2 3" xfId="19558" xr:uid="{00000000-0005-0000-0000-0000F5610000}"/>
    <cellStyle name="Output 7 3 2 3 3" xfId="15319" xr:uid="{00000000-0005-0000-0000-0000F6610000}"/>
    <cellStyle name="Output 7 3 2 3 3 2" xfId="30151" xr:uid="{00000000-0005-0000-0000-0000F7610000}"/>
    <cellStyle name="Output 7 3 2 3 4" xfId="11575" xr:uid="{00000000-0005-0000-0000-0000F8610000}"/>
    <cellStyle name="Output 7 3 2 3 4 2" xfId="26407" xr:uid="{00000000-0005-0000-0000-0000F9610000}"/>
    <cellStyle name="Output 7 3 2 4" xfId="2987" xr:uid="{00000000-0005-0000-0000-0000FA610000}"/>
    <cellStyle name="Output 7 3 2 4 2" xfId="7067" xr:uid="{00000000-0005-0000-0000-0000FB610000}"/>
    <cellStyle name="Output 7 3 2 4 2 2" xfId="16866" xr:uid="{00000000-0005-0000-0000-0000FC610000}"/>
    <cellStyle name="Output 7 3 2 4 2 2 2" xfId="31698" xr:uid="{00000000-0005-0000-0000-0000FD610000}"/>
    <cellStyle name="Output 7 3 2 4 2 3" xfId="18850" xr:uid="{00000000-0005-0000-0000-0000FE610000}"/>
    <cellStyle name="Output 7 3 2 4 3" xfId="13325" xr:uid="{00000000-0005-0000-0000-0000FF610000}"/>
    <cellStyle name="Output 7 3 2 4 3 2" xfId="28157" xr:uid="{00000000-0005-0000-0000-000000620000}"/>
    <cellStyle name="Output 7 3 2 4 4" xfId="10521" xr:uid="{00000000-0005-0000-0000-000001620000}"/>
    <cellStyle name="Output 7 3 2 4 4 2" xfId="25353" xr:uid="{00000000-0005-0000-0000-000002620000}"/>
    <cellStyle name="Output 7 3 2 5" xfId="6159" xr:uid="{00000000-0005-0000-0000-000003620000}"/>
    <cellStyle name="Output 7 3 2 5 2" xfId="16346" xr:uid="{00000000-0005-0000-0000-000004620000}"/>
    <cellStyle name="Output 7 3 2 5 2 2" xfId="31178" xr:uid="{00000000-0005-0000-0000-000005620000}"/>
    <cellStyle name="Output 7 3 2 5 3" xfId="18491" xr:uid="{00000000-0005-0000-0000-000006620000}"/>
    <cellStyle name="Output 7 3 2 6" xfId="12416" xr:uid="{00000000-0005-0000-0000-000007620000}"/>
    <cellStyle name="Output 7 3 2 6 2" xfId="27248" xr:uid="{00000000-0005-0000-0000-000008620000}"/>
    <cellStyle name="Output 7 3 2 7" xfId="9998" xr:uid="{00000000-0005-0000-0000-000009620000}"/>
    <cellStyle name="Output 7 3 2 7 2" xfId="24830" xr:uid="{00000000-0005-0000-0000-00000A620000}"/>
    <cellStyle name="Output 7 3 3" xfId="3303" xr:uid="{00000000-0005-0000-0000-00000B620000}"/>
    <cellStyle name="Output 7 3 3 2" xfId="7367" xr:uid="{00000000-0005-0000-0000-00000C620000}"/>
    <cellStyle name="Output 7 3 3 2 2" xfId="17106" xr:uid="{00000000-0005-0000-0000-00000D620000}"/>
    <cellStyle name="Output 7 3 3 2 2 2" xfId="31938" xr:uid="{00000000-0005-0000-0000-00000E620000}"/>
    <cellStyle name="Output 7 3 3 2 3" xfId="18990" xr:uid="{00000000-0005-0000-0000-00000F620000}"/>
    <cellStyle name="Output 7 3 3 3" xfId="13640" xr:uid="{00000000-0005-0000-0000-000010620000}"/>
    <cellStyle name="Output 7 3 3 3 2" xfId="28472" xr:uid="{00000000-0005-0000-0000-000011620000}"/>
    <cellStyle name="Output 7 3 3 4" xfId="10730" xr:uid="{00000000-0005-0000-0000-000012620000}"/>
    <cellStyle name="Output 7 3 3 4 2" xfId="25562" xr:uid="{00000000-0005-0000-0000-000013620000}"/>
    <cellStyle name="Output 7 3 4" xfId="4577" xr:uid="{00000000-0005-0000-0000-000014620000}"/>
    <cellStyle name="Output 7 3 4 2" xfId="8616" xr:uid="{00000000-0005-0000-0000-000015620000}"/>
    <cellStyle name="Output 7 3 4 2 2" xfId="17734" xr:uid="{00000000-0005-0000-0000-000016620000}"/>
    <cellStyle name="Output 7 3 4 2 2 2" xfId="32566" xr:uid="{00000000-0005-0000-0000-000017620000}"/>
    <cellStyle name="Output 7 3 4 2 3" xfId="19398" xr:uid="{00000000-0005-0000-0000-000018620000}"/>
    <cellStyle name="Output 7 3 4 3" xfId="14904" xr:uid="{00000000-0005-0000-0000-000019620000}"/>
    <cellStyle name="Output 7 3 4 3 2" xfId="29736" xr:uid="{00000000-0005-0000-0000-00001A620000}"/>
    <cellStyle name="Output 7 3 4 4" xfId="11340" xr:uid="{00000000-0005-0000-0000-00001B620000}"/>
    <cellStyle name="Output 7 3 4 4 2" xfId="26172" xr:uid="{00000000-0005-0000-0000-00001C620000}"/>
    <cellStyle name="Output 7 3 5" xfId="2567" xr:uid="{00000000-0005-0000-0000-00001D620000}"/>
    <cellStyle name="Output 7 3 5 2" xfId="6673" xr:uid="{00000000-0005-0000-0000-00001E620000}"/>
    <cellStyle name="Output 7 3 5 2 2" xfId="16631" xr:uid="{00000000-0005-0000-0000-00001F620000}"/>
    <cellStyle name="Output 7 3 5 2 2 2" xfId="31463" xr:uid="{00000000-0005-0000-0000-000020620000}"/>
    <cellStyle name="Output 7 3 5 2 3" xfId="18686" xr:uid="{00000000-0005-0000-0000-000021620000}"/>
    <cellStyle name="Output 7 3 5 3" xfId="12905" xr:uid="{00000000-0005-0000-0000-000022620000}"/>
    <cellStyle name="Output 7 3 5 3 2" xfId="27737" xr:uid="{00000000-0005-0000-0000-000023620000}"/>
    <cellStyle name="Output 7 3 5 4" xfId="10281" xr:uid="{00000000-0005-0000-0000-000024620000}"/>
    <cellStyle name="Output 7 3 5 4 2" xfId="25113" xr:uid="{00000000-0005-0000-0000-000025620000}"/>
    <cellStyle name="Output 7 3 6" xfId="5690" xr:uid="{00000000-0005-0000-0000-000026620000}"/>
    <cellStyle name="Output 7 3 6 2" xfId="15925" xr:uid="{00000000-0005-0000-0000-000027620000}"/>
    <cellStyle name="Output 7 3 6 2 2" xfId="30757" xr:uid="{00000000-0005-0000-0000-000028620000}"/>
    <cellStyle name="Output 7 3 6 3" xfId="18328" xr:uid="{00000000-0005-0000-0000-000029620000}"/>
    <cellStyle name="Output 7 3 7" xfId="11945" xr:uid="{00000000-0005-0000-0000-00002A620000}"/>
    <cellStyle name="Output 7 3 7 2" xfId="26777" xr:uid="{00000000-0005-0000-0000-00002B620000}"/>
    <cellStyle name="Output 7 3 8" xfId="9603" xr:uid="{00000000-0005-0000-0000-00002C620000}"/>
    <cellStyle name="Output 7 3 8 2" xfId="19905" xr:uid="{00000000-0005-0000-0000-00002D620000}"/>
    <cellStyle name="Output 7 4" xfId="1587" xr:uid="{00000000-0005-0000-0000-00002E620000}"/>
    <cellStyle name="Output 7 4 2" xfId="2084" xr:uid="{00000000-0005-0000-0000-00002F620000}"/>
    <cellStyle name="Output 7 4 2 2" xfId="3488" xr:uid="{00000000-0005-0000-0000-000030620000}"/>
    <cellStyle name="Output 7 4 2 2 2" xfId="7550" xr:uid="{00000000-0005-0000-0000-000031620000}"/>
    <cellStyle name="Output 7 4 2 2 2 2" xfId="17212" xr:uid="{00000000-0005-0000-0000-000032620000}"/>
    <cellStyle name="Output 7 4 2 2 2 2 2" xfId="32044" xr:uid="{00000000-0005-0000-0000-000033620000}"/>
    <cellStyle name="Output 7 4 2 2 2 3" xfId="19049" xr:uid="{00000000-0005-0000-0000-000034620000}"/>
    <cellStyle name="Output 7 4 2 2 3" xfId="13825" xr:uid="{00000000-0005-0000-0000-000035620000}"/>
    <cellStyle name="Output 7 4 2 2 3 2" xfId="28657" xr:uid="{00000000-0005-0000-0000-000036620000}"/>
    <cellStyle name="Output 7 4 2 2 4" xfId="10830" xr:uid="{00000000-0005-0000-0000-000037620000}"/>
    <cellStyle name="Output 7 4 2 2 4 2" xfId="25662" xr:uid="{00000000-0005-0000-0000-000038620000}"/>
    <cellStyle name="Output 7 4 2 3" xfId="5052" xr:uid="{00000000-0005-0000-0000-000039620000}"/>
    <cellStyle name="Output 7 4 2 3 2" xfId="9091" xr:uid="{00000000-0005-0000-0000-00003A620000}"/>
    <cellStyle name="Output 7 4 2 3 2 2" xfId="18024" xr:uid="{00000000-0005-0000-0000-00003B620000}"/>
    <cellStyle name="Output 7 4 2 3 2 2 2" xfId="32856" xr:uid="{00000000-0005-0000-0000-00003C620000}"/>
    <cellStyle name="Output 7 4 2 3 2 3" xfId="19590" xr:uid="{00000000-0005-0000-0000-00003D620000}"/>
    <cellStyle name="Output 7 4 2 3 3" xfId="15373" xr:uid="{00000000-0005-0000-0000-00003E620000}"/>
    <cellStyle name="Output 7 4 2 3 3 2" xfId="30205" xr:uid="{00000000-0005-0000-0000-00003F620000}"/>
    <cellStyle name="Output 7 4 2 3 4" xfId="11624" xr:uid="{00000000-0005-0000-0000-000040620000}"/>
    <cellStyle name="Output 7 4 2 3 4 2" xfId="26456" xr:uid="{00000000-0005-0000-0000-000041620000}"/>
    <cellStyle name="Output 7 4 2 4" xfId="3042" xr:uid="{00000000-0005-0000-0000-000042620000}"/>
    <cellStyle name="Output 7 4 2 4 2" xfId="7117" xr:uid="{00000000-0005-0000-0000-000043620000}"/>
    <cellStyle name="Output 7 4 2 4 2 2" xfId="16915" xr:uid="{00000000-0005-0000-0000-000044620000}"/>
    <cellStyle name="Output 7 4 2 4 2 2 2" xfId="31747" xr:uid="{00000000-0005-0000-0000-000045620000}"/>
    <cellStyle name="Output 7 4 2 4 2 3" xfId="18883" xr:uid="{00000000-0005-0000-0000-000046620000}"/>
    <cellStyle name="Output 7 4 2 4 3" xfId="13380" xr:uid="{00000000-0005-0000-0000-000047620000}"/>
    <cellStyle name="Output 7 4 2 4 3 2" xfId="28212" xr:uid="{00000000-0005-0000-0000-000048620000}"/>
    <cellStyle name="Output 7 4 2 4 4" xfId="10571" xr:uid="{00000000-0005-0000-0000-000049620000}"/>
    <cellStyle name="Output 7 4 2 4 4 2" xfId="25403" xr:uid="{00000000-0005-0000-0000-00004A620000}"/>
    <cellStyle name="Output 7 4 2 5" xfId="6209" xr:uid="{00000000-0005-0000-0000-00004B620000}"/>
    <cellStyle name="Output 7 4 2 5 2" xfId="16395" xr:uid="{00000000-0005-0000-0000-00004C620000}"/>
    <cellStyle name="Output 7 4 2 5 2 2" xfId="31227" xr:uid="{00000000-0005-0000-0000-00004D620000}"/>
    <cellStyle name="Output 7 4 2 5 3" xfId="18524" xr:uid="{00000000-0005-0000-0000-00004E620000}"/>
    <cellStyle name="Output 7 4 2 6" xfId="12465" xr:uid="{00000000-0005-0000-0000-00004F620000}"/>
    <cellStyle name="Output 7 4 2 6 2" xfId="27297" xr:uid="{00000000-0005-0000-0000-000050620000}"/>
    <cellStyle name="Output 7 4 2 7" xfId="10047" xr:uid="{00000000-0005-0000-0000-000051620000}"/>
    <cellStyle name="Output 7 4 2 7 2" xfId="24879" xr:uid="{00000000-0005-0000-0000-000052620000}"/>
    <cellStyle name="Output 7 4 3" xfId="3545" xr:uid="{00000000-0005-0000-0000-000053620000}"/>
    <cellStyle name="Output 7 4 3 2" xfId="7607" xr:uid="{00000000-0005-0000-0000-000054620000}"/>
    <cellStyle name="Output 7 4 3 2 2" xfId="17249" xr:uid="{00000000-0005-0000-0000-000055620000}"/>
    <cellStyle name="Output 7 4 3 2 2 2" xfId="32081" xr:uid="{00000000-0005-0000-0000-000056620000}"/>
    <cellStyle name="Output 7 4 3 2 3" xfId="19073" xr:uid="{00000000-0005-0000-0000-000057620000}"/>
    <cellStyle name="Output 7 4 3 3" xfId="13881" xr:uid="{00000000-0005-0000-0000-000058620000}"/>
    <cellStyle name="Output 7 4 3 3 2" xfId="28713" xr:uid="{00000000-0005-0000-0000-000059620000}"/>
    <cellStyle name="Output 7 4 3 4" xfId="10866" xr:uid="{00000000-0005-0000-0000-00005A620000}"/>
    <cellStyle name="Output 7 4 3 4 2" xfId="25698" xr:uid="{00000000-0005-0000-0000-00005B620000}"/>
    <cellStyle name="Output 7 4 4" xfId="4632" xr:uid="{00000000-0005-0000-0000-00005C620000}"/>
    <cellStyle name="Output 7 4 4 2" xfId="8671" xr:uid="{00000000-0005-0000-0000-00005D620000}"/>
    <cellStyle name="Output 7 4 4 2 2" xfId="17784" xr:uid="{00000000-0005-0000-0000-00005E620000}"/>
    <cellStyle name="Output 7 4 4 2 2 2" xfId="32616" xr:uid="{00000000-0005-0000-0000-00005F620000}"/>
    <cellStyle name="Output 7 4 4 2 3" xfId="19430" xr:uid="{00000000-0005-0000-0000-000060620000}"/>
    <cellStyle name="Output 7 4 4 3" xfId="14958" xr:uid="{00000000-0005-0000-0000-000061620000}"/>
    <cellStyle name="Output 7 4 4 3 2" xfId="29790" xr:uid="{00000000-0005-0000-0000-000062620000}"/>
    <cellStyle name="Output 7 4 4 4" xfId="11389" xr:uid="{00000000-0005-0000-0000-000063620000}"/>
    <cellStyle name="Output 7 4 4 4 2" xfId="26221" xr:uid="{00000000-0005-0000-0000-000064620000}"/>
    <cellStyle name="Output 7 4 5" xfId="2622" xr:uid="{00000000-0005-0000-0000-000065620000}"/>
    <cellStyle name="Output 7 4 5 2" xfId="6723" xr:uid="{00000000-0005-0000-0000-000066620000}"/>
    <cellStyle name="Output 7 4 5 2 2" xfId="16680" xr:uid="{00000000-0005-0000-0000-000067620000}"/>
    <cellStyle name="Output 7 4 5 2 2 2" xfId="31512" xr:uid="{00000000-0005-0000-0000-000068620000}"/>
    <cellStyle name="Output 7 4 5 2 3" xfId="18719" xr:uid="{00000000-0005-0000-0000-000069620000}"/>
    <cellStyle name="Output 7 4 5 3" xfId="12960" xr:uid="{00000000-0005-0000-0000-00006A620000}"/>
    <cellStyle name="Output 7 4 5 3 2" xfId="27792" xr:uid="{00000000-0005-0000-0000-00006B620000}"/>
    <cellStyle name="Output 7 4 5 4" xfId="10331" xr:uid="{00000000-0005-0000-0000-00006C620000}"/>
    <cellStyle name="Output 7 4 5 4 2" xfId="25163" xr:uid="{00000000-0005-0000-0000-00006D620000}"/>
    <cellStyle name="Output 7 4 6" xfId="5739" xr:uid="{00000000-0005-0000-0000-00006E620000}"/>
    <cellStyle name="Output 7 4 6 2" xfId="15974" xr:uid="{00000000-0005-0000-0000-00006F620000}"/>
    <cellStyle name="Output 7 4 6 2 2" xfId="30806" xr:uid="{00000000-0005-0000-0000-000070620000}"/>
    <cellStyle name="Output 7 4 6 3" xfId="18360" xr:uid="{00000000-0005-0000-0000-000071620000}"/>
    <cellStyle name="Output 7 4 7" xfId="11994" xr:uid="{00000000-0005-0000-0000-000072620000}"/>
    <cellStyle name="Output 7 4 7 2" xfId="26826" xr:uid="{00000000-0005-0000-0000-000073620000}"/>
    <cellStyle name="Output 7 4 8" xfId="9653" xr:uid="{00000000-0005-0000-0000-000074620000}"/>
    <cellStyle name="Output 7 4 8 2" xfId="19954" xr:uid="{00000000-0005-0000-0000-000075620000}"/>
    <cellStyle name="Output 7 5" xfId="1637" xr:uid="{00000000-0005-0000-0000-000076620000}"/>
    <cellStyle name="Output 7 5 2" xfId="2134" xr:uid="{00000000-0005-0000-0000-000077620000}"/>
    <cellStyle name="Output 7 5 2 2" xfId="3415" xr:uid="{00000000-0005-0000-0000-000078620000}"/>
    <cellStyle name="Output 7 5 2 2 2" xfId="7478" xr:uid="{00000000-0005-0000-0000-000079620000}"/>
    <cellStyle name="Output 7 5 2 2 2 2" xfId="17177" xr:uid="{00000000-0005-0000-0000-00007A620000}"/>
    <cellStyle name="Output 7 5 2 2 2 2 2" xfId="32009" xr:uid="{00000000-0005-0000-0000-00007B620000}"/>
    <cellStyle name="Output 7 5 2 2 2 3" xfId="19026" xr:uid="{00000000-0005-0000-0000-00007C620000}"/>
    <cellStyle name="Output 7 5 2 2 3" xfId="13752" xr:uid="{00000000-0005-0000-0000-00007D620000}"/>
    <cellStyle name="Output 7 5 2 2 3 2" xfId="28584" xr:uid="{00000000-0005-0000-0000-00007E620000}"/>
    <cellStyle name="Output 7 5 2 2 4" xfId="10796" xr:uid="{00000000-0005-0000-0000-00007F620000}"/>
    <cellStyle name="Output 7 5 2 2 4 2" xfId="25628" xr:uid="{00000000-0005-0000-0000-000080620000}"/>
    <cellStyle name="Output 7 5 2 3" xfId="5102" xr:uid="{00000000-0005-0000-0000-000081620000}"/>
    <cellStyle name="Output 7 5 2 3 2" xfId="9141" xr:uid="{00000000-0005-0000-0000-000082620000}"/>
    <cellStyle name="Output 7 5 2 3 2 2" xfId="18069" xr:uid="{00000000-0005-0000-0000-000083620000}"/>
    <cellStyle name="Output 7 5 2 3 2 2 2" xfId="32901" xr:uid="{00000000-0005-0000-0000-000084620000}"/>
    <cellStyle name="Output 7 5 2 3 2 3" xfId="19622" xr:uid="{00000000-0005-0000-0000-000085620000}"/>
    <cellStyle name="Output 7 5 2 3 3" xfId="15422" xr:uid="{00000000-0005-0000-0000-000086620000}"/>
    <cellStyle name="Output 7 5 2 3 3 2" xfId="30254" xr:uid="{00000000-0005-0000-0000-000087620000}"/>
    <cellStyle name="Output 7 5 2 3 4" xfId="11668" xr:uid="{00000000-0005-0000-0000-000088620000}"/>
    <cellStyle name="Output 7 5 2 3 4 2" xfId="26500" xr:uid="{00000000-0005-0000-0000-000089620000}"/>
    <cellStyle name="Output 7 5 2 4" xfId="3092" xr:uid="{00000000-0005-0000-0000-00008A620000}"/>
    <cellStyle name="Output 7 5 2 4 2" xfId="7162" xr:uid="{00000000-0005-0000-0000-00008B620000}"/>
    <cellStyle name="Output 7 5 2 4 2 2" xfId="16959" xr:uid="{00000000-0005-0000-0000-00008C620000}"/>
    <cellStyle name="Output 7 5 2 4 2 2 2" xfId="31791" xr:uid="{00000000-0005-0000-0000-00008D620000}"/>
    <cellStyle name="Output 7 5 2 4 2 3" xfId="18916" xr:uid="{00000000-0005-0000-0000-00008E620000}"/>
    <cellStyle name="Output 7 5 2 4 3" xfId="13430" xr:uid="{00000000-0005-0000-0000-00008F620000}"/>
    <cellStyle name="Output 7 5 2 4 3 2" xfId="28262" xr:uid="{00000000-0005-0000-0000-000090620000}"/>
    <cellStyle name="Output 7 5 2 4 4" xfId="10616" xr:uid="{00000000-0005-0000-0000-000091620000}"/>
    <cellStyle name="Output 7 5 2 4 4 2" xfId="25448" xr:uid="{00000000-0005-0000-0000-000092620000}"/>
    <cellStyle name="Output 7 5 2 5" xfId="6254" xr:uid="{00000000-0005-0000-0000-000093620000}"/>
    <cellStyle name="Output 7 5 2 5 2" xfId="16439" xr:uid="{00000000-0005-0000-0000-000094620000}"/>
    <cellStyle name="Output 7 5 2 5 2 2" xfId="31271" xr:uid="{00000000-0005-0000-0000-000095620000}"/>
    <cellStyle name="Output 7 5 2 5 3" xfId="18557" xr:uid="{00000000-0005-0000-0000-000096620000}"/>
    <cellStyle name="Output 7 5 2 6" xfId="12509" xr:uid="{00000000-0005-0000-0000-000097620000}"/>
    <cellStyle name="Output 7 5 2 6 2" xfId="27341" xr:uid="{00000000-0005-0000-0000-000098620000}"/>
    <cellStyle name="Output 7 5 2 7" xfId="10091" xr:uid="{00000000-0005-0000-0000-000099620000}"/>
    <cellStyle name="Output 7 5 2 7 2" xfId="24923" xr:uid="{00000000-0005-0000-0000-00009A620000}"/>
    <cellStyle name="Output 7 5 3" xfId="4006" xr:uid="{00000000-0005-0000-0000-00009B620000}"/>
    <cellStyle name="Output 7 5 3 2" xfId="8053" xr:uid="{00000000-0005-0000-0000-00009C620000}"/>
    <cellStyle name="Output 7 5 3 2 2" xfId="17470" xr:uid="{00000000-0005-0000-0000-00009D620000}"/>
    <cellStyle name="Output 7 5 3 2 2 2" xfId="32302" xr:uid="{00000000-0005-0000-0000-00009E620000}"/>
    <cellStyle name="Output 7 5 3 2 3" xfId="19231" xr:uid="{00000000-0005-0000-0000-00009F620000}"/>
    <cellStyle name="Output 7 5 3 3" xfId="14338" xr:uid="{00000000-0005-0000-0000-0000A0620000}"/>
    <cellStyle name="Output 7 5 3 3 2" xfId="29170" xr:uid="{00000000-0005-0000-0000-0000A1620000}"/>
    <cellStyle name="Output 7 5 3 4" xfId="11087" xr:uid="{00000000-0005-0000-0000-0000A2620000}"/>
    <cellStyle name="Output 7 5 3 4 2" xfId="25919" xr:uid="{00000000-0005-0000-0000-0000A3620000}"/>
    <cellStyle name="Output 7 5 4" xfId="4682" xr:uid="{00000000-0005-0000-0000-0000A4620000}"/>
    <cellStyle name="Output 7 5 4 2" xfId="8721" xr:uid="{00000000-0005-0000-0000-0000A5620000}"/>
    <cellStyle name="Output 7 5 4 2 2" xfId="17829" xr:uid="{00000000-0005-0000-0000-0000A6620000}"/>
    <cellStyle name="Output 7 5 4 2 2 2" xfId="32661" xr:uid="{00000000-0005-0000-0000-0000A7620000}"/>
    <cellStyle name="Output 7 5 4 2 3" xfId="19462" xr:uid="{00000000-0005-0000-0000-0000A8620000}"/>
    <cellStyle name="Output 7 5 4 3" xfId="15007" xr:uid="{00000000-0005-0000-0000-0000A9620000}"/>
    <cellStyle name="Output 7 5 4 3 2" xfId="29839" xr:uid="{00000000-0005-0000-0000-0000AA620000}"/>
    <cellStyle name="Output 7 5 4 4" xfId="11433" xr:uid="{00000000-0005-0000-0000-0000AB620000}"/>
    <cellStyle name="Output 7 5 4 4 2" xfId="26265" xr:uid="{00000000-0005-0000-0000-0000AC620000}"/>
    <cellStyle name="Output 7 5 5" xfId="2672" xr:uid="{00000000-0005-0000-0000-0000AD620000}"/>
    <cellStyle name="Output 7 5 5 2" xfId="6768" xr:uid="{00000000-0005-0000-0000-0000AE620000}"/>
    <cellStyle name="Output 7 5 5 2 2" xfId="16724" xr:uid="{00000000-0005-0000-0000-0000AF620000}"/>
    <cellStyle name="Output 7 5 5 2 2 2" xfId="31556" xr:uid="{00000000-0005-0000-0000-0000B0620000}"/>
    <cellStyle name="Output 7 5 5 2 3" xfId="18752" xr:uid="{00000000-0005-0000-0000-0000B1620000}"/>
    <cellStyle name="Output 7 5 5 3" xfId="13010" xr:uid="{00000000-0005-0000-0000-0000B2620000}"/>
    <cellStyle name="Output 7 5 5 3 2" xfId="27842" xr:uid="{00000000-0005-0000-0000-0000B3620000}"/>
    <cellStyle name="Output 7 5 5 4" xfId="10376" xr:uid="{00000000-0005-0000-0000-0000B4620000}"/>
    <cellStyle name="Output 7 5 5 4 2" xfId="25208" xr:uid="{00000000-0005-0000-0000-0000B5620000}"/>
    <cellStyle name="Output 7 5 6" xfId="5784" xr:uid="{00000000-0005-0000-0000-0000B6620000}"/>
    <cellStyle name="Output 7 5 6 2" xfId="16018" xr:uid="{00000000-0005-0000-0000-0000B7620000}"/>
    <cellStyle name="Output 7 5 6 2 2" xfId="30850" xr:uid="{00000000-0005-0000-0000-0000B8620000}"/>
    <cellStyle name="Output 7 5 6 3" xfId="18393" xr:uid="{00000000-0005-0000-0000-0000B9620000}"/>
    <cellStyle name="Output 7 5 7" xfId="12038" xr:uid="{00000000-0005-0000-0000-0000BA620000}"/>
    <cellStyle name="Output 7 5 7 2" xfId="26870" xr:uid="{00000000-0005-0000-0000-0000BB620000}"/>
    <cellStyle name="Output 7 5 8" xfId="9698" xr:uid="{00000000-0005-0000-0000-0000BC620000}"/>
    <cellStyle name="Output 7 5 8 2" xfId="19998" xr:uid="{00000000-0005-0000-0000-0000BD620000}"/>
    <cellStyle name="Output 7 6" xfId="1788" xr:uid="{00000000-0005-0000-0000-0000BE620000}"/>
    <cellStyle name="Output 7 6 2" xfId="3810" xr:uid="{00000000-0005-0000-0000-0000BF620000}"/>
    <cellStyle name="Output 7 6 2 2" xfId="7864" xr:uid="{00000000-0005-0000-0000-0000C0620000}"/>
    <cellStyle name="Output 7 6 2 2 2" xfId="17377" xr:uid="{00000000-0005-0000-0000-0000C1620000}"/>
    <cellStyle name="Output 7 6 2 2 2 2" xfId="32209" xr:uid="{00000000-0005-0000-0000-0000C2620000}"/>
    <cellStyle name="Output 7 6 2 2 3" xfId="19162" xr:uid="{00000000-0005-0000-0000-0000C3620000}"/>
    <cellStyle name="Output 7 6 2 3" xfId="14145" xr:uid="{00000000-0005-0000-0000-0000C4620000}"/>
    <cellStyle name="Output 7 6 2 3 2" xfId="28977" xr:uid="{00000000-0005-0000-0000-0000C5620000}"/>
    <cellStyle name="Output 7 6 2 4" xfId="10995" xr:uid="{00000000-0005-0000-0000-0000C6620000}"/>
    <cellStyle name="Output 7 6 2 4 2" xfId="25827" xr:uid="{00000000-0005-0000-0000-0000C7620000}"/>
    <cellStyle name="Output 7 6 3" xfId="4766" xr:uid="{00000000-0005-0000-0000-0000C8620000}"/>
    <cellStyle name="Output 7 6 3 2" xfId="8805" xr:uid="{00000000-0005-0000-0000-0000C9620000}"/>
    <cellStyle name="Output 7 6 3 2 2" xfId="17877" xr:uid="{00000000-0005-0000-0000-0000CA620000}"/>
    <cellStyle name="Output 7 6 3 2 2 2" xfId="32709" xr:uid="{00000000-0005-0000-0000-0000CB620000}"/>
    <cellStyle name="Output 7 6 3 2 3" xfId="19494" xr:uid="{00000000-0005-0000-0000-0000CC620000}"/>
    <cellStyle name="Output 7 6 3 3" xfId="15090" xr:uid="{00000000-0005-0000-0000-0000CD620000}"/>
    <cellStyle name="Output 7 6 3 3 2" xfId="29922" xr:uid="{00000000-0005-0000-0000-0000CE620000}"/>
    <cellStyle name="Output 7 6 3 4" xfId="11480" xr:uid="{00000000-0005-0000-0000-0000CF620000}"/>
    <cellStyle name="Output 7 6 3 4 2" xfId="26312" xr:uid="{00000000-0005-0000-0000-0000D0620000}"/>
    <cellStyle name="Output 7 6 4" xfId="2756" xr:uid="{00000000-0005-0000-0000-0000D1620000}"/>
    <cellStyle name="Output 7 6 4 2" xfId="6847" xr:uid="{00000000-0005-0000-0000-0000D2620000}"/>
    <cellStyle name="Output 7 6 4 2 2" xfId="16771" xr:uid="{00000000-0005-0000-0000-0000D3620000}"/>
    <cellStyle name="Output 7 6 4 2 2 2" xfId="31603" xr:uid="{00000000-0005-0000-0000-0000D4620000}"/>
    <cellStyle name="Output 7 6 4 2 3" xfId="18785" xr:uid="{00000000-0005-0000-0000-0000D5620000}"/>
    <cellStyle name="Output 7 6 4 3" xfId="13094" xr:uid="{00000000-0005-0000-0000-0000D6620000}"/>
    <cellStyle name="Output 7 6 4 3 2" xfId="27926" xr:uid="{00000000-0005-0000-0000-0000D7620000}"/>
    <cellStyle name="Output 7 6 4 4" xfId="10424" xr:uid="{00000000-0005-0000-0000-0000D8620000}"/>
    <cellStyle name="Output 7 6 4 4 2" xfId="25256" xr:uid="{00000000-0005-0000-0000-0000D9620000}"/>
    <cellStyle name="Output 7 6 5" xfId="5920" xr:uid="{00000000-0005-0000-0000-0000DA620000}"/>
    <cellStyle name="Output 7 6 5 2" xfId="16112" xr:uid="{00000000-0005-0000-0000-0000DB620000}"/>
    <cellStyle name="Output 7 6 5 2 2" xfId="30944" xr:uid="{00000000-0005-0000-0000-0000DC620000}"/>
    <cellStyle name="Output 7 6 5 3" xfId="18427" xr:uid="{00000000-0005-0000-0000-0000DD620000}"/>
    <cellStyle name="Output 7 6 6" xfId="12182" xr:uid="{00000000-0005-0000-0000-0000DE620000}"/>
    <cellStyle name="Output 7 6 6 2" xfId="27014" xr:uid="{00000000-0005-0000-0000-0000DF620000}"/>
    <cellStyle name="Output 7 6 7" xfId="9778" xr:uid="{00000000-0005-0000-0000-0000E0620000}"/>
    <cellStyle name="Output 7 6 7 2" xfId="24735" xr:uid="{00000000-0005-0000-0000-0000E1620000}"/>
    <cellStyle name="Output 7 7" xfId="2178" xr:uid="{00000000-0005-0000-0000-0000E2620000}"/>
    <cellStyle name="Output 7 7 2" xfId="4312" xr:uid="{00000000-0005-0000-0000-0000E3620000}"/>
    <cellStyle name="Output 7 7 2 2" xfId="8351" xr:uid="{00000000-0005-0000-0000-0000E4620000}"/>
    <cellStyle name="Output 7 7 2 2 2" xfId="17630" xr:uid="{00000000-0005-0000-0000-0000E5620000}"/>
    <cellStyle name="Output 7 7 2 2 2 2" xfId="32462" xr:uid="{00000000-0005-0000-0000-0000E6620000}"/>
    <cellStyle name="Output 7 7 2 2 3" xfId="19333" xr:uid="{00000000-0005-0000-0000-0000E7620000}"/>
    <cellStyle name="Output 7 7 2 3" xfId="14643" xr:uid="{00000000-0005-0000-0000-0000E8620000}"/>
    <cellStyle name="Output 7 7 2 3 2" xfId="29475" xr:uid="{00000000-0005-0000-0000-0000E9620000}"/>
    <cellStyle name="Output 7 7 2 4" xfId="11240" xr:uid="{00000000-0005-0000-0000-0000EA620000}"/>
    <cellStyle name="Output 7 7 2 4 2" xfId="26072" xr:uid="{00000000-0005-0000-0000-0000EB620000}"/>
    <cellStyle name="Output 7 7 3" xfId="5146" xr:uid="{00000000-0005-0000-0000-0000EC620000}"/>
    <cellStyle name="Output 7 7 3 2" xfId="9185" xr:uid="{00000000-0005-0000-0000-0000ED620000}"/>
    <cellStyle name="Output 7 7 3 2 2" xfId="18108" xr:uid="{00000000-0005-0000-0000-0000EE620000}"/>
    <cellStyle name="Output 7 7 3 2 2 2" xfId="32940" xr:uid="{00000000-0005-0000-0000-0000EF620000}"/>
    <cellStyle name="Output 7 7 3 2 3" xfId="19659" xr:uid="{00000000-0005-0000-0000-0000F0620000}"/>
    <cellStyle name="Output 7 7 3 3" xfId="15464" xr:uid="{00000000-0005-0000-0000-0000F1620000}"/>
    <cellStyle name="Output 7 7 3 3 2" xfId="30296" xr:uid="{00000000-0005-0000-0000-0000F2620000}"/>
    <cellStyle name="Output 7 7 3 4" xfId="11705" xr:uid="{00000000-0005-0000-0000-0000F3620000}"/>
    <cellStyle name="Output 7 7 3 4 2" xfId="26537" xr:uid="{00000000-0005-0000-0000-0000F4620000}"/>
    <cellStyle name="Output 7 7 4" xfId="4176" xr:uid="{00000000-0005-0000-0000-0000F5620000}"/>
    <cellStyle name="Output 7 7 4 2" xfId="8217" xr:uid="{00000000-0005-0000-0000-0000F6620000}"/>
    <cellStyle name="Output 7 7 4 2 2" xfId="17564" xr:uid="{00000000-0005-0000-0000-0000F7620000}"/>
    <cellStyle name="Output 7 7 4 2 2 2" xfId="32396" xr:uid="{00000000-0005-0000-0000-0000F8620000}"/>
    <cellStyle name="Output 7 7 4 2 3" xfId="19302" xr:uid="{00000000-0005-0000-0000-0000F9620000}"/>
    <cellStyle name="Output 7 7 4 3" xfId="14508" xr:uid="{00000000-0005-0000-0000-0000FA620000}"/>
    <cellStyle name="Output 7 7 4 3 2" xfId="29340" xr:uid="{00000000-0005-0000-0000-0000FB620000}"/>
    <cellStyle name="Output 7 7 4 4" xfId="11184" xr:uid="{00000000-0005-0000-0000-0000FC620000}"/>
    <cellStyle name="Output 7 7 4 4 2" xfId="26016" xr:uid="{00000000-0005-0000-0000-0000FD620000}"/>
    <cellStyle name="Output 7 7 5" xfId="6292" xr:uid="{00000000-0005-0000-0000-0000FE620000}"/>
    <cellStyle name="Output 7 7 5 2" xfId="16476" xr:uid="{00000000-0005-0000-0000-0000FF620000}"/>
    <cellStyle name="Output 7 7 5 2 2" xfId="31308" xr:uid="{00000000-0005-0000-0000-000000630000}"/>
    <cellStyle name="Output 7 7 5 3" xfId="18595" xr:uid="{00000000-0005-0000-0000-000001630000}"/>
    <cellStyle name="Output 7 7 6" xfId="12546" xr:uid="{00000000-0005-0000-0000-000002630000}"/>
    <cellStyle name="Output 7 7 6 2" xfId="27378" xr:uid="{00000000-0005-0000-0000-000003630000}"/>
    <cellStyle name="Output 7 7 7" xfId="10128" xr:uid="{00000000-0005-0000-0000-000004630000}"/>
    <cellStyle name="Output 7 7 7 2" xfId="24960" xr:uid="{00000000-0005-0000-0000-000005630000}"/>
    <cellStyle name="Output 7 8" xfId="3739" xr:uid="{00000000-0005-0000-0000-000006630000}"/>
    <cellStyle name="Output 7 8 2" xfId="7795" xr:uid="{00000000-0005-0000-0000-000007630000}"/>
    <cellStyle name="Output 7 8 2 2" xfId="17342" xr:uid="{00000000-0005-0000-0000-000008630000}"/>
    <cellStyle name="Output 7 8 2 2 2" xfId="32174" xr:uid="{00000000-0005-0000-0000-000009630000}"/>
    <cellStyle name="Output 7 8 2 3" xfId="19137" xr:uid="{00000000-0005-0000-0000-00000A630000}"/>
    <cellStyle name="Output 7 8 3" xfId="14074" xr:uid="{00000000-0005-0000-0000-00000B630000}"/>
    <cellStyle name="Output 7 8 3 2" xfId="28906" xr:uid="{00000000-0005-0000-0000-00000C630000}"/>
    <cellStyle name="Output 7 8 4" xfId="10958" xr:uid="{00000000-0005-0000-0000-00000D630000}"/>
    <cellStyle name="Output 7 8 4 2" xfId="25790" xr:uid="{00000000-0005-0000-0000-00000E630000}"/>
    <cellStyle name="Output 7 9" xfId="3687" xr:uid="{00000000-0005-0000-0000-00000F630000}"/>
    <cellStyle name="Output 7 9 2" xfId="7744" xr:uid="{00000000-0005-0000-0000-000010630000}"/>
    <cellStyle name="Output 7 9 2 2" xfId="17315" xr:uid="{00000000-0005-0000-0000-000011630000}"/>
    <cellStyle name="Output 7 9 2 2 2" xfId="32147" xr:uid="{00000000-0005-0000-0000-000012630000}"/>
    <cellStyle name="Output 7 9 2 3" xfId="19122" xr:uid="{00000000-0005-0000-0000-000013630000}"/>
    <cellStyle name="Output 7 9 3" xfId="14022" xr:uid="{00000000-0005-0000-0000-000014630000}"/>
    <cellStyle name="Output 7 9 3 2" xfId="28854" xr:uid="{00000000-0005-0000-0000-000015630000}"/>
    <cellStyle name="Output 7 9 4" xfId="10932" xr:uid="{00000000-0005-0000-0000-000016630000}"/>
    <cellStyle name="Output 7 9 4 2" xfId="25764" xr:uid="{00000000-0005-0000-0000-000017630000}"/>
    <cellStyle name="Output 8" xfId="1244" xr:uid="{00000000-0005-0000-0000-000018630000}"/>
    <cellStyle name="Output 8 10" xfId="2330" xr:uid="{00000000-0005-0000-0000-000019630000}"/>
    <cellStyle name="Output 8 10 2" xfId="6442" xr:uid="{00000000-0005-0000-0000-00001A630000}"/>
    <cellStyle name="Output 8 10 2 2" xfId="16535" xr:uid="{00000000-0005-0000-0000-00001B630000}"/>
    <cellStyle name="Output 8 10 2 2 2" xfId="31367" xr:uid="{00000000-0005-0000-0000-00001C630000}"/>
    <cellStyle name="Output 8 10 2 3" xfId="18623" xr:uid="{00000000-0005-0000-0000-00001D630000}"/>
    <cellStyle name="Output 8 10 3" xfId="12670" xr:uid="{00000000-0005-0000-0000-00001E630000}"/>
    <cellStyle name="Output 8 10 3 2" xfId="27502" xr:uid="{00000000-0005-0000-0000-00001F630000}"/>
    <cellStyle name="Output 8 10 4" xfId="10186" xr:uid="{00000000-0005-0000-0000-000020630000}"/>
    <cellStyle name="Output 8 10 4 2" xfId="25018" xr:uid="{00000000-0005-0000-0000-000021630000}"/>
    <cellStyle name="Output 8 11" xfId="5293" xr:uid="{00000000-0005-0000-0000-000022630000}"/>
    <cellStyle name="Output 8 11 2" xfId="9301" xr:uid="{00000000-0005-0000-0000-000023630000}"/>
    <cellStyle name="Output 8 11 2 2" xfId="18168" xr:uid="{00000000-0005-0000-0000-000024630000}"/>
    <cellStyle name="Output 8 11 2 2 2" xfId="33000" xr:uid="{00000000-0005-0000-0000-000025630000}"/>
    <cellStyle name="Output 8 11 2 3" xfId="19687" xr:uid="{00000000-0005-0000-0000-000026630000}"/>
    <cellStyle name="Output 8 11 3" xfId="15609" xr:uid="{00000000-0005-0000-0000-000027630000}"/>
    <cellStyle name="Output 8 11 3 2" xfId="30441" xr:uid="{00000000-0005-0000-0000-000028630000}"/>
    <cellStyle name="Output 8 12" xfId="5451" xr:uid="{00000000-0005-0000-0000-000029630000}"/>
    <cellStyle name="Output 8 12 2" xfId="15687" xr:uid="{00000000-0005-0000-0000-00002A630000}"/>
    <cellStyle name="Output 8 12 2 2" xfId="30519" xr:uid="{00000000-0005-0000-0000-00002B630000}"/>
    <cellStyle name="Output 8 12 3" xfId="18264" xr:uid="{00000000-0005-0000-0000-00002C630000}"/>
    <cellStyle name="Output 8 13" xfId="9340" xr:uid="{00000000-0005-0000-0000-00002D630000}"/>
    <cellStyle name="Output 8 13 2" xfId="24646" xr:uid="{00000000-0005-0000-0000-00002E630000}"/>
    <cellStyle name="Output 8 14" xfId="5329" xr:uid="{00000000-0005-0000-0000-00002F630000}"/>
    <cellStyle name="Output 8 14 2" xfId="18203" xr:uid="{00000000-0005-0000-0000-000030630000}"/>
    <cellStyle name="Output 8 2" xfId="1363" xr:uid="{00000000-0005-0000-0000-000031630000}"/>
    <cellStyle name="Output 8 2 2" xfId="1867" xr:uid="{00000000-0005-0000-0000-000032630000}"/>
    <cellStyle name="Output 8 2 2 2" xfId="3473" xr:uid="{00000000-0005-0000-0000-000033630000}"/>
    <cellStyle name="Output 8 2 2 2 2" xfId="7535" xr:uid="{00000000-0005-0000-0000-000034630000}"/>
    <cellStyle name="Output 8 2 2 2 2 2" xfId="17205" xr:uid="{00000000-0005-0000-0000-000035630000}"/>
    <cellStyle name="Output 8 2 2 2 2 2 2" xfId="32037" xr:uid="{00000000-0005-0000-0000-000036630000}"/>
    <cellStyle name="Output 8 2 2 2 2 3" xfId="19044" xr:uid="{00000000-0005-0000-0000-000037630000}"/>
    <cellStyle name="Output 8 2 2 2 3" xfId="13810" xr:uid="{00000000-0005-0000-0000-000038630000}"/>
    <cellStyle name="Output 8 2 2 2 3 2" xfId="28642" xr:uid="{00000000-0005-0000-0000-000039630000}"/>
    <cellStyle name="Output 8 2 2 2 4" xfId="10823" xr:uid="{00000000-0005-0000-0000-00003A630000}"/>
    <cellStyle name="Output 8 2 2 2 4 2" xfId="25655" xr:uid="{00000000-0005-0000-0000-00003B630000}"/>
    <cellStyle name="Output 8 2 2 3" xfId="4845" xr:uid="{00000000-0005-0000-0000-00003C630000}"/>
    <cellStyle name="Output 8 2 2 3 2" xfId="8884" xr:uid="{00000000-0005-0000-0000-00003D630000}"/>
    <cellStyle name="Output 8 2 2 3 2 2" xfId="17925" xr:uid="{00000000-0005-0000-0000-00003E630000}"/>
    <cellStyle name="Output 8 2 2 3 2 2 2" xfId="32757" xr:uid="{00000000-0005-0000-0000-00003F630000}"/>
    <cellStyle name="Output 8 2 2 3 2 3" xfId="19527" xr:uid="{00000000-0005-0000-0000-000040630000}"/>
    <cellStyle name="Output 8 2 2 3 3" xfId="15169" xr:uid="{00000000-0005-0000-0000-000041630000}"/>
    <cellStyle name="Output 8 2 2 3 3 2" xfId="30001" xr:uid="{00000000-0005-0000-0000-000042630000}"/>
    <cellStyle name="Output 8 2 2 3 4" xfId="11528" xr:uid="{00000000-0005-0000-0000-000043630000}"/>
    <cellStyle name="Output 8 2 2 3 4 2" xfId="26360" xr:uid="{00000000-0005-0000-0000-000044630000}"/>
    <cellStyle name="Output 8 2 2 4" xfId="2835" xr:uid="{00000000-0005-0000-0000-000045630000}"/>
    <cellStyle name="Output 8 2 2 4 2" xfId="6926" xr:uid="{00000000-0005-0000-0000-000046630000}"/>
    <cellStyle name="Output 8 2 2 4 2 2" xfId="16819" xr:uid="{00000000-0005-0000-0000-000047630000}"/>
    <cellStyle name="Output 8 2 2 4 2 2 2" xfId="31651" xr:uid="{00000000-0005-0000-0000-000048630000}"/>
    <cellStyle name="Output 8 2 2 4 2 3" xfId="18818" xr:uid="{00000000-0005-0000-0000-000049630000}"/>
    <cellStyle name="Output 8 2 2 4 3" xfId="13173" xr:uid="{00000000-0005-0000-0000-00004A630000}"/>
    <cellStyle name="Output 8 2 2 4 3 2" xfId="28005" xr:uid="{00000000-0005-0000-0000-00004B630000}"/>
    <cellStyle name="Output 8 2 2 4 4" xfId="10472" xr:uid="{00000000-0005-0000-0000-00004C630000}"/>
    <cellStyle name="Output 8 2 2 4 4 2" xfId="25304" xr:uid="{00000000-0005-0000-0000-00004D630000}"/>
    <cellStyle name="Output 8 2 2 5" xfId="5999" xr:uid="{00000000-0005-0000-0000-00004E630000}"/>
    <cellStyle name="Output 8 2 2 5 2" xfId="16191" xr:uid="{00000000-0005-0000-0000-00004F630000}"/>
    <cellStyle name="Output 8 2 2 5 2 2" xfId="31023" xr:uid="{00000000-0005-0000-0000-000050630000}"/>
    <cellStyle name="Output 8 2 2 5 3" xfId="18460" xr:uid="{00000000-0005-0000-0000-000051630000}"/>
    <cellStyle name="Output 8 2 2 6" xfId="12261" xr:uid="{00000000-0005-0000-0000-000052630000}"/>
    <cellStyle name="Output 8 2 2 6 2" xfId="27093" xr:uid="{00000000-0005-0000-0000-000053630000}"/>
    <cellStyle name="Output 8 2 2 7" xfId="9857" xr:uid="{00000000-0005-0000-0000-000054630000}"/>
    <cellStyle name="Output 8 2 2 7 2" xfId="24783" xr:uid="{00000000-0005-0000-0000-000055630000}"/>
    <cellStyle name="Output 8 2 3" xfId="4112" xr:uid="{00000000-0005-0000-0000-000056630000}"/>
    <cellStyle name="Output 8 2 3 2" xfId="8158" xr:uid="{00000000-0005-0000-0000-000057630000}"/>
    <cellStyle name="Output 8 2 3 2 2" xfId="17526" xr:uid="{00000000-0005-0000-0000-000058630000}"/>
    <cellStyle name="Output 8 2 3 2 2 2" xfId="32358" xr:uid="{00000000-0005-0000-0000-000059630000}"/>
    <cellStyle name="Output 8 2 3 2 3" xfId="19272" xr:uid="{00000000-0005-0000-0000-00005A630000}"/>
    <cellStyle name="Output 8 2 3 3" xfId="14444" xr:uid="{00000000-0005-0000-0000-00005B630000}"/>
    <cellStyle name="Output 8 2 3 3 2" xfId="29276" xr:uid="{00000000-0005-0000-0000-00005C630000}"/>
    <cellStyle name="Output 8 2 3 4" xfId="11143" xr:uid="{00000000-0005-0000-0000-00005D630000}"/>
    <cellStyle name="Output 8 2 3 4 2" xfId="25975" xr:uid="{00000000-0005-0000-0000-00005E630000}"/>
    <cellStyle name="Output 8 2 4" xfId="4425" xr:uid="{00000000-0005-0000-0000-00005F630000}"/>
    <cellStyle name="Output 8 2 4 2" xfId="8464" xr:uid="{00000000-0005-0000-0000-000060630000}"/>
    <cellStyle name="Output 8 2 4 2 2" xfId="17685" xr:uid="{00000000-0005-0000-0000-000061630000}"/>
    <cellStyle name="Output 8 2 4 2 2 2" xfId="32517" xr:uid="{00000000-0005-0000-0000-000062630000}"/>
    <cellStyle name="Output 8 2 4 2 3" xfId="19367" xr:uid="{00000000-0005-0000-0000-000063630000}"/>
    <cellStyle name="Output 8 2 4 3" xfId="14754" xr:uid="{00000000-0005-0000-0000-000064630000}"/>
    <cellStyle name="Output 8 2 4 3 2" xfId="29586" xr:uid="{00000000-0005-0000-0000-000065630000}"/>
    <cellStyle name="Output 8 2 4 4" xfId="11293" xr:uid="{00000000-0005-0000-0000-000066630000}"/>
    <cellStyle name="Output 8 2 4 4 2" xfId="26125" xr:uid="{00000000-0005-0000-0000-000067630000}"/>
    <cellStyle name="Output 8 2 5" xfId="2415" xr:uid="{00000000-0005-0000-0000-000068630000}"/>
    <cellStyle name="Output 8 2 5 2" xfId="6527" xr:uid="{00000000-0005-0000-0000-000069630000}"/>
    <cellStyle name="Output 8 2 5 2 2" xfId="16583" xr:uid="{00000000-0005-0000-0000-00006A630000}"/>
    <cellStyle name="Output 8 2 5 2 2 2" xfId="31415" xr:uid="{00000000-0005-0000-0000-00006B630000}"/>
    <cellStyle name="Output 8 2 5 2 3" xfId="18655" xr:uid="{00000000-0005-0000-0000-00006C630000}"/>
    <cellStyle name="Output 8 2 5 3" xfId="12754" xr:uid="{00000000-0005-0000-0000-00006D630000}"/>
    <cellStyle name="Output 8 2 5 3 2" xfId="27586" xr:uid="{00000000-0005-0000-0000-00006E630000}"/>
    <cellStyle name="Output 8 2 5 4" xfId="10233" xr:uid="{00000000-0005-0000-0000-00006F630000}"/>
    <cellStyle name="Output 8 2 5 4 2" xfId="25065" xr:uid="{00000000-0005-0000-0000-000070630000}"/>
    <cellStyle name="Output 8 2 6" xfId="5540" xr:uid="{00000000-0005-0000-0000-000071630000}"/>
    <cellStyle name="Output 8 2 6 2" xfId="15775" xr:uid="{00000000-0005-0000-0000-000072630000}"/>
    <cellStyle name="Output 8 2 6 2 2" xfId="30607" xr:uid="{00000000-0005-0000-0000-000073630000}"/>
    <cellStyle name="Output 8 2 6 3" xfId="18297" xr:uid="{00000000-0005-0000-0000-000074630000}"/>
    <cellStyle name="Output 8 2 7" xfId="11790" xr:uid="{00000000-0005-0000-0000-000075630000}"/>
    <cellStyle name="Output 8 2 7 2" xfId="26622" xr:uid="{00000000-0005-0000-0000-000076630000}"/>
    <cellStyle name="Output 8 2 8" xfId="9461" xr:uid="{00000000-0005-0000-0000-000077630000}"/>
    <cellStyle name="Output 8 2 8 2" xfId="19765" xr:uid="{00000000-0005-0000-0000-000078630000}"/>
    <cellStyle name="Output 8 3" xfId="1533" xr:uid="{00000000-0005-0000-0000-000079630000}"/>
    <cellStyle name="Output 8 3 2" xfId="2030" xr:uid="{00000000-0005-0000-0000-00007A630000}"/>
    <cellStyle name="Output 8 3 2 2" xfId="3808" xr:uid="{00000000-0005-0000-0000-00007B630000}"/>
    <cellStyle name="Output 8 3 2 2 2" xfId="7863" xr:uid="{00000000-0005-0000-0000-00007C630000}"/>
    <cellStyle name="Output 8 3 2 2 2 2" xfId="17376" xr:uid="{00000000-0005-0000-0000-00007D630000}"/>
    <cellStyle name="Output 8 3 2 2 2 2 2" xfId="32208" xr:uid="{00000000-0005-0000-0000-00007E630000}"/>
    <cellStyle name="Output 8 3 2 2 2 3" xfId="19161" xr:uid="{00000000-0005-0000-0000-00007F630000}"/>
    <cellStyle name="Output 8 3 2 2 3" xfId="14143" xr:uid="{00000000-0005-0000-0000-000080630000}"/>
    <cellStyle name="Output 8 3 2 2 3 2" xfId="28975" xr:uid="{00000000-0005-0000-0000-000081630000}"/>
    <cellStyle name="Output 8 3 2 2 4" xfId="10993" xr:uid="{00000000-0005-0000-0000-000082630000}"/>
    <cellStyle name="Output 8 3 2 2 4 2" xfId="25825" xr:uid="{00000000-0005-0000-0000-000083630000}"/>
    <cellStyle name="Output 8 3 2 3" xfId="4998" xr:uid="{00000000-0005-0000-0000-000084630000}"/>
    <cellStyle name="Output 8 3 2 3 2" xfId="9037" xr:uid="{00000000-0005-0000-0000-000085630000}"/>
    <cellStyle name="Output 8 3 2 3 2 2" xfId="17975" xr:uid="{00000000-0005-0000-0000-000086630000}"/>
    <cellStyle name="Output 8 3 2 3 2 2 2" xfId="32807" xr:uid="{00000000-0005-0000-0000-000087630000}"/>
    <cellStyle name="Output 8 3 2 3 2 3" xfId="19559" xr:uid="{00000000-0005-0000-0000-000088630000}"/>
    <cellStyle name="Output 8 3 2 3 3" xfId="15320" xr:uid="{00000000-0005-0000-0000-000089630000}"/>
    <cellStyle name="Output 8 3 2 3 3 2" xfId="30152" xr:uid="{00000000-0005-0000-0000-00008A630000}"/>
    <cellStyle name="Output 8 3 2 3 4" xfId="11576" xr:uid="{00000000-0005-0000-0000-00008B630000}"/>
    <cellStyle name="Output 8 3 2 3 4 2" xfId="26408" xr:uid="{00000000-0005-0000-0000-00008C630000}"/>
    <cellStyle name="Output 8 3 2 4" xfId="2988" xr:uid="{00000000-0005-0000-0000-00008D630000}"/>
    <cellStyle name="Output 8 3 2 4 2" xfId="7068" xr:uid="{00000000-0005-0000-0000-00008E630000}"/>
    <cellStyle name="Output 8 3 2 4 2 2" xfId="16867" xr:uid="{00000000-0005-0000-0000-00008F630000}"/>
    <cellStyle name="Output 8 3 2 4 2 2 2" xfId="31699" xr:uid="{00000000-0005-0000-0000-000090630000}"/>
    <cellStyle name="Output 8 3 2 4 2 3" xfId="18851" xr:uid="{00000000-0005-0000-0000-000091630000}"/>
    <cellStyle name="Output 8 3 2 4 3" xfId="13326" xr:uid="{00000000-0005-0000-0000-000092630000}"/>
    <cellStyle name="Output 8 3 2 4 3 2" xfId="28158" xr:uid="{00000000-0005-0000-0000-000093630000}"/>
    <cellStyle name="Output 8 3 2 4 4" xfId="10522" xr:uid="{00000000-0005-0000-0000-000094630000}"/>
    <cellStyle name="Output 8 3 2 4 4 2" xfId="25354" xr:uid="{00000000-0005-0000-0000-000095630000}"/>
    <cellStyle name="Output 8 3 2 5" xfId="6160" xr:uid="{00000000-0005-0000-0000-000096630000}"/>
    <cellStyle name="Output 8 3 2 5 2" xfId="16347" xr:uid="{00000000-0005-0000-0000-000097630000}"/>
    <cellStyle name="Output 8 3 2 5 2 2" xfId="31179" xr:uid="{00000000-0005-0000-0000-000098630000}"/>
    <cellStyle name="Output 8 3 2 5 3" xfId="18492" xr:uid="{00000000-0005-0000-0000-000099630000}"/>
    <cellStyle name="Output 8 3 2 6" xfId="12417" xr:uid="{00000000-0005-0000-0000-00009A630000}"/>
    <cellStyle name="Output 8 3 2 6 2" xfId="27249" xr:uid="{00000000-0005-0000-0000-00009B630000}"/>
    <cellStyle name="Output 8 3 2 7" xfId="9999" xr:uid="{00000000-0005-0000-0000-00009C630000}"/>
    <cellStyle name="Output 8 3 2 7 2" xfId="24831" xr:uid="{00000000-0005-0000-0000-00009D630000}"/>
    <cellStyle name="Output 8 3 3" xfId="3292" xr:uid="{00000000-0005-0000-0000-00009E630000}"/>
    <cellStyle name="Output 8 3 3 2" xfId="7356" xr:uid="{00000000-0005-0000-0000-00009F630000}"/>
    <cellStyle name="Output 8 3 3 2 2" xfId="17098" xr:uid="{00000000-0005-0000-0000-0000A0630000}"/>
    <cellStyle name="Output 8 3 3 2 2 2" xfId="31930" xr:uid="{00000000-0005-0000-0000-0000A1630000}"/>
    <cellStyle name="Output 8 3 3 2 3" xfId="18986" xr:uid="{00000000-0005-0000-0000-0000A2630000}"/>
    <cellStyle name="Output 8 3 3 3" xfId="13629" xr:uid="{00000000-0005-0000-0000-0000A3630000}"/>
    <cellStyle name="Output 8 3 3 3 2" xfId="28461" xr:uid="{00000000-0005-0000-0000-0000A4630000}"/>
    <cellStyle name="Output 8 3 3 4" xfId="10724" xr:uid="{00000000-0005-0000-0000-0000A5630000}"/>
    <cellStyle name="Output 8 3 3 4 2" xfId="25556" xr:uid="{00000000-0005-0000-0000-0000A6630000}"/>
    <cellStyle name="Output 8 3 4" xfId="4578" xr:uid="{00000000-0005-0000-0000-0000A7630000}"/>
    <cellStyle name="Output 8 3 4 2" xfId="8617" xr:uid="{00000000-0005-0000-0000-0000A8630000}"/>
    <cellStyle name="Output 8 3 4 2 2" xfId="17735" xr:uid="{00000000-0005-0000-0000-0000A9630000}"/>
    <cellStyle name="Output 8 3 4 2 2 2" xfId="32567" xr:uid="{00000000-0005-0000-0000-0000AA630000}"/>
    <cellStyle name="Output 8 3 4 2 3" xfId="19399" xr:uid="{00000000-0005-0000-0000-0000AB630000}"/>
    <cellStyle name="Output 8 3 4 3" xfId="14905" xr:uid="{00000000-0005-0000-0000-0000AC630000}"/>
    <cellStyle name="Output 8 3 4 3 2" xfId="29737" xr:uid="{00000000-0005-0000-0000-0000AD630000}"/>
    <cellStyle name="Output 8 3 4 4" xfId="11341" xr:uid="{00000000-0005-0000-0000-0000AE630000}"/>
    <cellStyle name="Output 8 3 4 4 2" xfId="26173" xr:uid="{00000000-0005-0000-0000-0000AF630000}"/>
    <cellStyle name="Output 8 3 5" xfId="2568" xr:uid="{00000000-0005-0000-0000-0000B0630000}"/>
    <cellStyle name="Output 8 3 5 2" xfId="6674" xr:uid="{00000000-0005-0000-0000-0000B1630000}"/>
    <cellStyle name="Output 8 3 5 2 2" xfId="16632" xr:uid="{00000000-0005-0000-0000-0000B2630000}"/>
    <cellStyle name="Output 8 3 5 2 2 2" xfId="31464" xr:uid="{00000000-0005-0000-0000-0000B3630000}"/>
    <cellStyle name="Output 8 3 5 2 3" xfId="18687" xr:uid="{00000000-0005-0000-0000-0000B4630000}"/>
    <cellStyle name="Output 8 3 5 3" xfId="12906" xr:uid="{00000000-0005-0000-0000-0000B5630000}"/>
    <cellStyle name="Output 8 3 5 3 2" xfId="27738" xr:uid="{00000000-0005-0000-0000-0000B6630000}"/>
    <cellStyle name="Output 8 3 5 4" xfId="10282" xr:uid="{00000000-0005-0000-0000-0000B7630000}"/>
    <cellStyle name="Output 8 3 5 4 2" xfId="25114" xr:uid="{00000000-0005-0000-0000-0000B8630000}"/>
    <cellStyle name="Output 8 3 6" xfId="5691" xr:uid="{00000000-0005-0000-0000-0000B9630000}"/>
    <cellStyle name="Output 8 3 6 2" xfId="15926" xr:uid="{00000000-0005-0000-0000-0000BA630000}"/>
    <cellStyle name="Output 8 3 6 2 2" xfId="30758" xr:uid="{00000000-0005-0000-0000-0000BB630000}"/>
    <cellStyle name="Output 8 3 6 3" xfId="18329" xr:uid="{00000000-0005-0000-0000-0000BC630000}"/>
    <cellStyle name="Output 8 3 7" xfId="11946" xr:uid="{00000000-0005-0000-0000-0000BD630000}"/>
    <cellStyle name="Output 8 3 7 2" xfId="26778" xr:uid="{00000000-0005-0000-0000-0000BE630000}"/>
    <cellStyle name="Output 8 3 8" xfId="9604" xr:uid="{00000000-0005-0000-0000-0000BF630000}"/>
    <cellStyle name="Output 8 3 8 2" xfId="19906" xr:uid="{00000000-0005-0000-0000-0000C0630000}"/>
    <cellStyle name="Output 8 4" xfId="1588" xr:uid="{00000000-0005-0000-0000-0000C1630000}"/>
    <cellStyle name="Output 8 4 2" xfId="2085" xr:uid="{00000000-0005-0000-0000-0000C2630000}"/>
    <cellStyle name="Output 8 4 2 2" xfId="3800" xr:uid="{00000000-0005-0000-0000-0000C3630000}"/>
    <cellStyle name="Output 8 4 2 2 2" xfId="7855" xr:uid="{00000000-0005-0000-0000-0000C4630000}"/>
    <cellStyle name="Output 8 4 2 2 2 2" xfId="17370" xr:uid="{00000000-0005-0000-0000-0000C5630000}"/>
    <cellStyle name="Output 8 4 2 2 2 2 2" xfId="32202" xr:uid="{00000000-0005-0000-0000-0000C6630000}"/>
    <cellStyle name="Output 8 4 2 2 2 3" xfId="19157" xr:uid="{00000000-0005-0000-0000-0000C7630000}"/>
    <cellStyle name="Output 8 4 2 2 3" xfId="14135" xr:uid="{00000000-0005-0000-0000-0000C8630000}"/>
    <cellStyle name="Output 8 4 2 2 3 2" xfId="28967" xr:uid="{00000000-0005-0000-0000-0000C9630000}"/>
    <cellStyle name="Output 8 4 2 2 4" xfId="10987" xr:uid="{00000000-0005-0000-0000-0000CA630000}"/>
    <cellStyle name="Output 8 4 2 2 4 2" xfId="25819" xr:uid="{00000000-0005-0000-0000-0000CB630000}"/>
    <cellStyle name="Output 8 4 2 3" xfId="5053" xr:uid="{00000000-0005-0000-0000-0000CC630000}"/>
    <cellStyle name="Output 8 4 2 3 2" xfId="9092" xr:uid="{00000000-0005-0000-0000-0000CD630000}"/>
    <cellStyle name="Output 8 4 2 3 2 2" xfId="18025" xr:uid="{00000000-0005-0000-0000-0000CE630000}"/>
    <cellStyle name="Output 8 4 2 3 2 2 2" xfId="32857" xr:uid="{00000000-0005-0000-0000-0000CF630000}"/>
    <cellStyle name="Output 8 4 2 3 2 3" xfId="19591" xr:uid="{00000000-0005-0000-0000-0000D0630000}"/>
    <cellStyle name="Output 8 4 2 3 3" xfId="15374" xr:uid="{00000000-0005-0000-0000-0000D1630000}"/>
    <cellStyle name="Output 8 4 2 3 3 2" xfId="30206" xr:uid="{00000000-0005-0000-0000-0000D2630000}"/>
    <cellStyle name="Output 8 4 2 3 4" xfId="11625" xr:uid="{00000000-0005-0000-0000-0000D3630000}"/>
    <cellStyle name="Output 8 4 2 3 4 2" xfId="26457" xr:uid="{00000000-0005-0000-0000-0000D4630000}"/>
    <cellStyle name="Output 8 4 2 4" xfId="3043" xr:uid="{00000000-0005-0000-0000-0000D5630000}"/>
    <cellStyle name="Output 8 4 2 4 2" xfId="7118" xr:uid="{00000000-0005-0000-0000-0000D6630000}"/>
    <cellStyle name="Output 8 4 2 4 2 2" xfId="16916" xr:uid="{00000000-0005-0000-0000-0000D7630000}"/>
    <cellStyle name="Output 8 4 2 4 2 2 2" xfId="31748" xr:uid="{00000000-0005-0000-0000-0000D8630000}"/>
    <cellStyle name="Output 8 4 2 4 2 3" xfId="18884" xr:uid="{00000000-0005-0000-0000-0000D9630000}"/>
    <cellStyle name="Output 8 4 2 4 3" xfId="13381" xr:uid="{00000000-0005-0000-0000-0000DA630000}"/>
    <cellStyle name="Output 8 4 2 4 3 2" xfId="28213" xr:uid="{00000000-0005-0000-0000-0000DB630000}"/>
    <cellStyle name="Output 8 4 2 4 4" xfId="10572" xr:uid="{00000000-0005-0000-0000-0000DC630000}"/>
    <cellStyle name="Output 8 4 2 4 4 2" xfId="25404" xr:uid="{00000000-0005-0000-0000-0000DD630000}"/>
    <cellStyle name="Output 8 4 2 5" xfId="6210" xr:uid="{00000000-0005-0000-0000-0000DE630000}"/>
    <cellStyle name="Output 8 4 2 5 2" xfId="16396" xr:uid="{00000000-0005-0000-0000-0000DF630000}"/>
    <cellStyle name="Output 8 4 2 5 2 2" xfId="31228" xr:uid="{00000000-0005-0000-0000-0000E0630000}"/>
    <cellStyle name="Output 8 4 2 5 3" xfId="18525" xr:uid="{00000000-0005-0000-0000-0000E1630000}"/>
    <cellStyle name="Output 8 4 2 6" xfId="12466" xr:uid="{00000000-0005-0000-0000-0000E2630000}"/>
    <cellStyle name="Output 8 4 2 6 2" xfId="27298" xr:uid="{00000000-0005-0000-0000-0000E3630000}"/>
    <cellStyle name="Output 8 4 2 7" xfId="10048" xr:uid="{00000000-0005-0000-0000-0000E4630000}"/>
    <cellStyle name="Output 8 4 2 7 2" xfId="24880" xr:uid="{00000000-0005-0000-0000-0000E5630000}"/>
    <cellStyle name="Output 8 4 3" xfId="3601" xr:uid="{00000000-0005-0000-0000-0000E6630000}"/>
    <cellStyle name="Output 8 4 3 2" xfId="7662" xr:uid="{00000000-0005-0000-0000-0000E7630000}"/>
    <cellStyle name="Output 8 4 3 2 2" xfId="17279" xr:uid="{00000000-0005-0000-0000-0000E8630000}"/>
    <cellStyle name="Output 8 4 3 2 2 2" xfId="32111" xr:uid="{00000000-0005-0000-0000-0000E9630000}"/>
    <cellStyle name="Output 8 4 3 2 3" xfId="19098" xr:uid="{00000000-0005-0000-0000-0000EA630000}"/>
    <cellStyle name="Output 8 4 3 3" xfId="13937" xr:uid="{00000000-0005-0000-0000-0000EB630000}"/>
    <cellStyle name="Output 8 4 3 3 2" xfId="28769" xr:uid="{00000000-0005-0000-0000-0000EC630000}"/>
    <cellStyle name="Output 8 4 3 4" xfId="10896" xr:uid="{00000000-0005-0000-0000-0000ED630000}"/>
    <cellStyle name="Output 8 4 3 4 2" xfId="25728" xr:uid="{00000000-0005-0000-0000-0000EE630000}"/>
    <cellStyle name="Output 8 4 4" xfId="4633" xr:uid="{00000000-0005-0000-0000-0000EF630000}"/>
    <cellStyle name="Output 8 4 4 2" xfId="8672" xr:uid="{00000000-0005-0000-0000-0000F0630000}"/>
    <cellStyle name="Output 8 4 4 2 2" xfId="17785" xr:uid="{00000000-0005-0000-0000-0000F1630000}"/>
    <cellStyle name="Output 8 4 4 2 2 2" xfId="32617" xr:uid="{00000000-0005-0000-0000-0000F2630000}"/>
    <cellStyle name="Output 8 4 4 2 3" xfId="19431" xr:uid="{00000000-0005-0000-0000-0000F3630000}"/>
    <cellStyle name="Output 8 4 4 3" xfId="14959" xr:uid="{00000000-0005-0000-0000-0000F4630000}"/>
    <cellStyle name="Output 8 4 4 3 2" xfId="29791" xr:uid="{00000000-0005-0000-0000-0000F5630000}"/>
    <cellStyle name="Output 8 4 4 4" xfId="11390" xr:uid="{00000000-0005-0000-0000-0000F6630000}"/>
    <cellStyle name="Output 8 4 4 4 2" xfId="26222" xr:uid="{00000000-0005-0000-0000-0000F7630000}"/>
    <cellStyle name="Output 8 4 5" xfId="2623" xr:uid="{00000000-0005-0000-0000-0000F8630000}"/>
    <cellStyle name="Output 8 4 5 2" xfId="6724" xr:uid="{00000000-0005-0000-0000-0000F9630000}"/>
    <cellStyle name="Output 8 4 5 2 2" xfId="16681" xr:uid="{00000000-0005-0000-0000-0000FA630000}"/>
    <cellStyle name="Output 8 4 5 2 2 2" xfId="31513" xr:uid="{00000000-0005-0000-0000-0000FB630000}"/>
    <cellStyle name="Output 8 4 5 2 3" xfId="18720" xr:uid="{00000000-0005-0000-0000-0000FC630000}"/>
    <cellStyle name="Output 8 4 5 3" xfId="12961" xr:uid="{00000000-0005-0000-0000-0000FD630000}"/>
    <cellStyle name="Output 8 4 5 3 2" xfId="27793" xr:uid="{00000000-0005-0000-0000-0000FE630000}"/>
    <cellStyle name="Output 8 4 5 4" xfId="10332" xr:uid="{00000000-0005-0000-0000-0000FF630000}"/>
    <cellStyle name="Output 8 4 5 4 2" xfId="25164" xr:uid="{00000000-0005-0000-0000-000000640000}"/>
    <cellStyle name="Output 8 4 6" xfId="5740" xr:uid="{00000000-0005-0000-0000-000001640000}"/>
    <cellStyle name="Output 8 4 6 2" xfId="15975" xr:uid="{00000000-0005-0000-0000-000002640000}"/>
    <cellStyle name="Output 8 4 6 2 2" xfId="30807" xr:uid="{00000000-0005-0000-0000-000003640000}"/>
    <cellStyle name="Output 8 4 6 3" xfId="18361" xr:uid="{00000000-0005-0000-0000-000004640000}"/>
    <cellStyle name="Output 8 4 7" xfId="11995" xr:uid="{00000000-0005-0000-0000-000005640000}"/>
    <cellStyle name="Output 8 4 7 2" xfId="26827" xr:uid="{00000000-0005-0000-0000-000006640000}"/>
    <cellStyle name="Output 8 4 8" xfId="9654" xr:uid="{00000000-0005-0000-0000-000007640000}"/>
    <cellStyle name="Output 8 4 8 2" xfId="19955" xr:uid="{00000000-0005-0000-0000-000008640000}"/>
    <cellStyle name="Output 8 5" xfId="1638" xr:uid="{00000000-0005-0000-0000-000009640000}"/>
    <cellStyle name="Output 8 5 2" xfId="2135" xr:uid="{00000000-0005-0000-0000-00000A640000}"/>
    <cellStyle name="Output 8 5 2 2" xfId="3874" xr:uid="{00000000-0005-0000-0000-00000B640000}"/>
    <cellStyle name="Output 8 5 2 2 2" xfId="7926" xr:uid="{00000000-0005-0000-0000-00000C640000}"/>
    <cellStyle name="Output 8 5 2 2 2 2" xfId="17405" xr:uid="{00000000-0005-0000-0000-00000D640000}"/>
    <cellStyle name="Output 8 5 2 2 2 2 2" xfId="32237" xr:uid="{00000000-0005-0000-0000-00000E640000}"/>
    <cellStyle name="Output 8 5 2 2 2 3" xfId="19183" xr:uid="{00000000-0005-0000-0000-00000F640000}"/>
    <cellStyle name="Output 8 5 2 2 3" xfId="14209" xr:uid="{00000000-0005-0000-0000-000010640000}"/>
    <cellStyle name="Output 8 5 2 2 3 2" xfId="29041" xr:uid="{00000000-0005-0000-0000-000011640000}"/>
    <cellStyle name="Output 8 5 2 2 4" xfId="11024" xr:uid="{00000000-0005-0000-0000-000012640000}"/>
    <cellStyle name="Output 8 5 2 2 4 2" xfId="25856" xr:uid="{00000000-0005-0000-0000-000013640000}"/>
    <cellStyle name="Output 8 5 2 3" xfId="5103" xr:uid="{00000000-0005-0000-0000-000014640000}"/>
    <cellStyle name="Output 8 5 2 3 2" xfId="9142" xr:uid="{00000000-0005-0000-0000-000015640000}"/>
    <cellStyle name="Output 8 5 2 3 2 2" xfId="18070" xr:uid="{00000000-0005-0000-0000-000016640000}"/>
    <cellStyle name="Output 8 5 2 3 2 2 2" xfId="32902" xr:uid="{00000000-0005-0000-0000-000017640000}"/>
    <cellStyle name="Output 8 5 2 3 2 3" xfId="19623" xr:uid="{00000000-0005-0000-0000-000018640000}"/>
    <cellStyle name="Output 8 5 2 3 3" xfId="15423" xr:uid="{00000000-0005-0000-0000-000019640000}"/>
    <cellStyle name="Output 8 5 2 3 3 2" xfId="30255" xr:uid="{00000000-0005-0000-0000-00001A640000}"/>
    <cellStyle name="Output 8 5 2 3 4" xfId="11669" xr:uid="{00000000-0005-0000-0000-00001B640000}"/>
    <cellStyle name="Output 8 5 2 3 4 2" xfId="26501" xr:uid="{00000000-0005-0000-0000-00001C640000}"/>
    <cellStyle name="Output 8 5 2 4" xfId="3093" xr:uid="{00000000-0005-0000-0000-00001D640000}"/>
    <cellStyle name="Output 8 5 2 4 2" xfId="7163" xr:uid="{00000000-0005-0000-0000-00001E640000}"/>
    <cellStyle name="Output 8 5 2 4 2 2" xfId="16960" xr:uid="{00000000-0005-0000-0000-00001F640000}"/>
    <cellStyle name="Output 8 5 2 4 2 2 2" xfId="31792" xr:uid="{00000000-0005-0000-0000-000020640000}"/>
    <cellStyle name="Output 8 5 2 4 2 3" xfId="18917" xr:uid="{00000000-0005-0000-0000-000021640000}"/>
    <cellStyle name="Output 8 5 2 4 3" xfId="13431" xr:uid="{00000000-0005-0000-0000-000022640000}"/>
    <cellStyle name="Output 8 5 2 4 3 2" xfId="28263" xr:uid="{00000000-0005-0000-0000-000023640000}"/>
    <cellStyle name="Output 8 5 2 4 4" xfId="10617" xr:uid="{00000000-0005-0000-0000-000024640000}"/>
    <cellStyle name="Output 8 5 2 4 4 2" xfId="25449" xr:uid="{00000000-0005-0000-0000-000025640000}"/>
    <cellStyle name="Output 8 5 2 5" xfId="6255" xr:uid="{00000000-0005-0000-0000-000026640000}"/>
    <cellStyle name="Output 8 5 2 5 2" xfId="16440" xr:uid="{00000000-0005-0000-0000-000027640000}"/>
    <cellStyle name="Output 8 5 2 5 2 2" xfId="31272" xr:uid="{00000000-0005-0000-0000-000028640000}"/>
    <cellStyle name="Output 8 5 2 5 3" xfId="18558" xr:uid="{00000000-0005-0000-0000-000029640000}"/>
    <cellStyle name="Output 8 5 2 6" xfId="12510" xr:uid="{00000000-0005-0000-0000-00002A640000}"/>
    <cellStyle name="Output 8 5 2 6 2" xfId="27342" xr:uid="{00000000-0005-0000-0000-00002B640000}"/>
    <cellStyle name="Output 8 5 2 7" xfId="10092" xr:uid="{00000000-0005-0000-0000-00002C640000}"/>
    <cellStyle name="Output 8 5 2 7 2" xfId="24924" xr:uid="{00000000-0005-0000-0000-00002D640000}"/>
    <cellStyle name="Output 8 5 3" xfId="3893" xr:uid="{00000000-0005-0000-0000-00002E640000}"/>
    <cellStyle name="Output 8 5 3 2" xfId="7944" xr:uid="{00000000-0005-0000-0000-00002F640000}"/>
    <cellStyle name="Output 8 5 3 2 2" xfId="17416" xr:uid="{00000000-0005-0000-0000-000030640000}"/>
    <cellStyle name="Output 8 5 3 2 2 2" xfId="32248" xr:uid="{00000000-0005-0000-0000-000031640000}"/>
    <cellStyle name="Output 8 5 3 2 3" xfId="19189" xr:uid="{00000000-0005-0000-0000-000032640000}"/>
    <cellStyle name="Output 8 5 3 3" xfId="14226" xr:uid="{00000000-0005-0000-0000-000033640000}"/>
    <cellStyle name="Output 8 5 3 3 2" xfId="29058" xr:uid="{00000000-0005-0000-0000-000034640000}"/>
    <cellStyle name="Output 8 5 3 4" xfId="11032" xr:uid="{00000000-0005-0000-0000-000035640000}"/>
    <cellStyle name="Output 8 5 3 4 2" xfId="25864" xr:uid="{00000000-0005-0000-0000-000036640000}"/>
    <cellStyle name="Output 8 5 4" xfId="4683" xr:uid="{00000000-0005-0000-0000-000037640000}"/>
    <cellStyle name="Output 8 5 4 2" xfId="8722" xr:uid="{00000000-0005-0000-0000-000038640000}"/>
    <cellStyle name="Output 8 5 4 2 2" xfId="17830" xr:uid="{00000000-0005-0000-0000-000039640000}"/>
    <cellStyle name="Output 8 5 4 2 2 2" xfId="32662" xr:uid="{00000000-0005-0000-0000-00003A640000}"/>
    <cellStyle name="Output 8 5 4 2 3" xfId="19463" xr:uid="{00000000-0005-0000-0000-00003B640000}"/>
    <cellStyle name="Output 8 5 4 3" xfId="15008" xr:uid="{00000000-0005-0000-0000-00003C640000}"/>
    <cellStyle name="Output 8 5 4 3 2" xfId="29840" xr:uid="{00000000-0005-0000-0000-00003D640000}"/>
    <cellStyle name="Output 8 5 4 4" xfId="11434" xr:uid="{00000000-0005-0000-0000-00003E640000}"/>
    <cellStyle name="Output 8 5 4 4 2" xfId="26266" xr:uid="{00000000-0005-0000-0000-00003F640000}"/>
    <cellStyle name="Output 8 5 5" xfId="2673" xr:uid="{00000000-0005-0000-0000-000040640000}"/>
    <cellStyle name="Output 8 5 5 2" xfId="6769" xr:uid="{00000000-0005-0000-0000-000041640000}"/>
    <cellStyle name="Output 8 5 5 2 2" xfId="16725" xr:uid="{00000000-0005-0000-0000-000042640000}"/>
    <cellStyle name="Output 8 5 5 2 2 2" xfId="31557" xr:uid="{00000000-0005-0000-0000-000043640000}"/>
    <cellStyle name="Output 8 5 5 2 3" xfId="18753" xr:uid="{00000000-0005-0000-0000-000044640000}"/>
    <cellStyle name="Output 8 5 5 3" xfId="13011" xr:uid="{00000000-0005-0000-0000-000045640000}"/>
    <cellStyle name="Output 8 5 5 3 2" xfId="27843" xr:uid="{00000000-0005-0000-0000-000046640000}"/>
    <cellStyle name="Output 8 5 5 4" xfId="10377" xr:uid="{00000000-0005-0000-0000-000047640000}"/>
    <cellStyle name="Output 8 5 5 4 2" xfId="25209" xr:uid="{00000000-0005-0000-0000-000048640000}"/>
    <cellStyle name="Output 8 5 6" xfId="5785" xr:uid="{00000000-0005-0000-0000-000049640000}"/>
    <cellStyle name="Output 8 5 6 2" xfId="16019" xr:uid="{00000000-0005-0000-0000-00004A640000}"/>
    <cellStyle name="Output 8 5 6 2 2" xfId="30851" xr:uid="{00000000-0005-0000-0000-00004B640000}"/>
    <cellStyle name="Output 8 5 6 3" xfId="18394" xr:uid="{00000000-0005-0000-0000-00004C640000}"/>
    <cellStyle name="Output 8 5 7" xfId="12039" xr:uid="{00000000-0005-0000-0000-00004D640000}"/>
    <cellStyle name="Output 8 5 7 2" xfId="26871" xr:uid="{00000000-0005-0000-0000-00004E640000}"/>
    <cellStyle name="Output 8 5 8" xfId="9699" xr:uid="{00000000-0005-0000-0000-00004F640000}"/>
    <cellStyle name="Output 8 5 8 2" xfId="19999" xr:uid="{00000000-0005-0000-0000-000050640000}"/>
    <cellStyle name="Output 8 6" xfId="1789" xr:uid="{00000000-0005-0000-0000-000051640000}"/>
    <cellStyle name="Output 8 6 2" xfId="3375" xr:uid="{00000000-0005-0000-0000-000052640000}"/>
    <cellStyle name="Output 8 6 2 2" xfId="7438" xr:uid="{00000000-0005-0000-0000-000053640000}"/>
    <cellStyle name="Output 8 6 2 2 2" xfId="17147" xr:uid="{00000000-0005-0000-0000-000054640000}"/>
    <cellStyle name="Output 8 6 2 2 2 2" xfId="31979" xr:uid="{00000000-0005-0000-0000-000055640000}"/>
    <cellStyle name="Output 8 6 2 2 3" xfId="19014" xr:uid="{00000000-0005-0000-0000-000056640000}"/>
    <cellStyle name="Output 8 6 2 3" xfId="13712" xr:uid="{00000000-0005-0000-0000-000057640000}"/>
    <cellStyle name="Output 8 6 2 3 2" xfId="28544" xr:uid="{00000000-0005-0000-0000-000058640000}"/>
    <cellStyle name="Output 8 6 2 4" xfId="10766" xr:uid="{00000000-0005-0000-0000-000059640000}"/>
    <cellStyle name="Output 8 6 2 4 2" xfId="25598" xr:uid="{00000000-0005-0000-0000-00005A640000}"/>
    <cellStyle name="Output 8 6 3" xfId="4767" xr:uid="{00000000-0005-0000-0000-00005B640000}"/>
    <cellStyle name="Output 8 6 3 2" xfId="8806" xr:uid="{00000000-0005-0000-0000-00005C640000}"/>
    <cellStyle name="Output 8 6 3 2 2" xfId="17878" xr:uid="{00000000-0005-0000-0000-00005D640000}"/>
    <cellStyle name="Output 8 6 3 2 2 2" xfId="32710" xr:uid="{00000000-0005-0000-0000-00005E640000}"/>
    <cellStyle name="Output 8 6 3 2 3" xfId="19495" xr:uid="{00000000-0005-0000-0000-00005F640000}"/>
    <cellStyle name="Output 8 6 3 3" xfId="15091" xr:uid="{00000000-0005-0000-0000-000060640000}"/>
    <cellStyle name="Output 8 6 3 3 2" xfId="29923" xr:uid="{00000000-0005-0000-0000-000061640000}"/>
    <cellStyle name="Output 8 6 3 4" xfId="11481" xr:uid="{00000000-0005-0000-0000-000062640000}"/>
    <cellStyle name="Output 8 6 3 4 2" xfId="26313" xr:uid="{00000000-0005-0000-0000-000063640000}"/>
    <cellStyle name="Output 8 6 4" xfId="2757" xr:uid="{00000000-0005-0000-0000-000064640000}"/>
    <cellStyle name="Output 8 6 4 2" xfId="6848" xr:uid="{00000000-0005-0000-0000-000065640000}"/>
    <cellStyle name="Output 8 6 4 2 2" xfId="16772" xr:uid="{00000000-0005-0000-0000-000066640000}"/>
    <cellStyle name="Output 8 6 4 2 2 2" xfId="31604" xr:uid="{00000000-0005-0000-0000-000067640000}"/>
    <cellStyle name="Output 8 6 4 2 3" xfId="18786" xr:uid="{00000000-0005-0000-0000-000068640000}"/>
    <cellStyle name="Output 8 6 4 3" xfId="13095" xr:uid="{00000000-0005-0000-0000-000069640000}"/>
    <cellStyle name="Output 8 6 4 3 2" xfId="27927" xr:uid="{00000000-0005-0000-0000-00006A640000}"/>
    <cellStyle name="Output 8 6 4 4" xfId="10425" xr:uid="{00000000-0005-0000-0000-00006B640000}"/>
    <cellStyle name="Output 8 6 4 4 2" xfId="25257" xr:uid="{00000000-0005-0000-0000-00006C640000}"/>
    <cellStyle name="Output 8 6 5" xfId="5921" xr:uid="{00000000-0005-0000-0000-00006D640000}"/>
    <cellStyle name="Output 8 6 5 2" xfId="16113" xr:uid="{00000000-0005-0000-0000-00006E640000}"/>
    <cellStyle name="Output 8 6 5 2 2" xfId="30945" xr:uid="{00000000-0005-0000-0000-00006F640000}"/>
    <cellStyle name="Output 8 6 5 3" xfId="18428" xr:uid="{00000000-0005-0000-0000-000070640000}"/>
    <cellStyle name="Output 8 6 6" xfId="12183" xr:uid="{00000000-0005-0000-0000-000071640000}"/>
    <cellStyle name="Output 8 6 6 2" xfId="27015" xr:uid="{00000000-0005-0000-0000-000072640000}"/>
    <cellStyle name="Output 8 6 7" xfId="9779" xr:uid="{00000000-0005-0000-0000-000073640000}"/>
    <cellStyle name="Output 8 6 7 2" xfId="24736" xr:uid="{00000000-0005-0000-0000-000074640000}"/>
    <cellStyle name="Output 8 7" xfId="2177" xr:uid="{00000000-0005-0000-0000-000075640000}"/>
    <cellStyle name="Output 8 7 2" xfId="3861" xr:uid="{00000000-0005-0000-0000-000076640000}"/>
    <cellStyle name="Output 8 7 2 2" xfId="7913" xr:uid="{00000000-0005-0000-0000-000077640000}"/>
    <cellStyle name="Output 8 7 2 2 2" xfId="17398" xr:uid="{00000000-0005-0000-0000-000078640000}"/>
    <cellStyle name="Output 8 7 2 2 2 2" xfId="32230" xr:uid="{00000000-0005-0000-0000-000079640000}"/>
    <cellStyle name="Output 8 7 2 2 3" xfId="19177" xr:uid="{00000000-0005-0000-0000-00007A640000}"/>
    <cellStyle name="Output 8 7 2 3" xfId="14196" xr:uid="{00000000-0005-0000-0000-00007B640000}"/>
    <cellStyle name="Output 8 7 2 3 2" xfId="29028" xr:uid="{00000000-0005-0000-0000-00007C640000}"/>
    <cellStyle name="Output 8 7 2 4" xfId="11017" xr:uid="{00000000-0005-0000-0000-00007D640000}"/>
    <cellStyle name="Output 8 7 2 4 2" xfId="25849" xr:uid="{00000000-0005-0000-0000-00007E640000}"/>
    <cellStyle name="Output 8 7 3" xfId="5145" xr:uid="{00000000-0005-0000-0000-00007F640000}"/>
    <cellStyle name="Output 8 7 3 2" xfId="9184" xr:uid="{00000000-0005-0000-0000-000080640000}"/>
    <cellStyle name="Output 8 7 3 2 2" xfId="18107" xr:uid="{00000000-0005-0000-0000-000081640000}"/>
    <cellStyle name="Output 8 7 3 2 2 2" xfId="32939" xr:uid="{00000000-0005-0000-0000-000082640000}"/>
    <cellStyle name="Output 8 7 3 2 3" xfId="19658" xr:uid="{00000000-0005-0000-0000-000083640000}"/>
    <cellStyle name="Output 8 7 3 3" xfId="15463" xr:uid="{00000000-0005-0000-0000-000084640000}"/>
    <cellStyle name="Output 8 7 3 3 2" xfId="30295" xr:uid="{00000000-0005-0000-0000-000085640000}"/>
    <cellStyle name="Output 8 7 3 4" xfId="11704" xr:uid="{00000000-0005-0000-0000-000086640000}"/>
    <cellStyle name="Output 8 7 3 4 2" xfId="26536" xr:uid="{00000000-0005-0000-0000-000087640000}"/>
    <cellStyle name="Output 8 7 4" xfId="4175" xr:uid="{00000000-0005-0000-0000-000088640000}"/>
    <cellStyle name="Output 8 7 4 2" xfId="8216" xr:uid="{00000000-0005-0000-0000-000089640000}"/>
    <cellStyle name="Output 8 7 4 2 2" xfId="17563" xr:uid="{00000000-0005-0000-0000-00008A640000}"/>
    <cellStyle name="Output 8 7 4 2 2 2" xfId="32395" xr:uid="{00000000-0005-0000-0000-00008B640000}"/>
    <cellStyle name="Output 8 7 4 2 3" xfId="19301" xr:uid="{00000000-0005-0000-0000-00008C640000}"/>
    <cellStyle name="Output 8 7 4 3" xfId="14507" xr:uid="{00000000-0005-0000-0000-00008D640000}"/>
    <cellStyle name="Output 8 7 4 3 2" xfId="29339" xr:uid="{00000000-0005-0000-0000-00008E640000}"/>
    <cellStyle name="Output 8 7 4 4" xfId="11183" xr:uid="{00000000-0005-0000-0000-00008F640000}"/>
    <cellStyle name="Output 8 7 4 4 2" xfId="26015" xr:uid="{00000000-0005-0000-0000-000090640000}"/>
    <cellStyle name="Output 8 7 5" xfId="6291" xr:uid="{00000000-0005-0000-0000-000091640000}"/>
    <cellStyle name="Output 8 7 5 2" xfId="16475" xr:uid="{00000000-0005-0000-0000-000092640000}"/>
    <cellStyle name="Output 8 7 5 2 2" xfId="31307" xr:uid="{00000000-0005-0000-0000-000093640000}"/>
    <cellStyle name="Output 8 7 5 3" xfId="18594" xr:uid="{00000000-0005-0000-0000-000094640000}"/>
    <cellStyle name="Output 8 7 6" xfId="12545" xr:uid="{00000000-0005-0000-0000-000095640000}"/>
    <cellStyle name="Output 8 7 6 2" xfId="27377" xr:uid="{00000000-0005-0000-0000-000096640000}"/>
    <cellStyle name="Output 8 7 7" xfId="10127" xr:uid="{00000000-0005-0000-0000-000097640000}"/>
    <cellStyle name="Output 8 7 7 2" xfId="24959" xr:uid="{00000000-0005-0000-0000-000098640000}"/>
    <cellStyle name="Output 8 8" xfId="4050" xr:uid="{00000000-0005-0000-0000-000099640000}"/>
    <cellStyle name="Output 8 8 2" xfId="8097" xr:uid="{00000000-0005-0000-0000-00009A640000}"/>
    <cellStyle name="Output 8 8 2 2" xfId="17492" xr:uid="{00000000-0005-0000-0000-00009B640000}"/>
    <cellStyle name="Output 8 8 2 2 2" xfId="32324" xr:uid="{00000000-0005-0000-0000-00009C640000}"/>
    <cellStyle name="Output 8 8 2 3" xfId="19248" xr:uid="{00000000-0005-0000-0000-00009D640000}"/>
    <cellStyle name="Output 8 8 3" xfId="14382" xr:uid="{00000000-0005-0000-0000-00009E640000}"/>
    <cellStyle name="Output 8 8 3 2" xfId="29214" xr:uid="{00000000-0005-0000-0000-00009F640000}"/>
    <cellStyle name="Output 8 8 4" xfId="11108" xr:uid="{00000000-0005-0000-0000-0000A0640000}"/>
    <cellStyle name="Output 8 8 4 2" xfId="25940" xr:uid="{00000000-0005-0000-0000-0000A1640000}"/>
    <cellStyle name="Output 8 9" xfId="3315" xr:uid="{00000000-0005-0000-0000-0000A2640000}"/>
    <cellStyle name="Output 8 9 2" xfId="7378" xr:uid="{00000000-0005-0000-0000-0000A3640000}"/>
    <cellStyle name="Output 8 9 2 2" xfId="17113" xr:uid="{00000000-0005-0000-0000-0000A4640000}"/>
    <cellStyle name="Output 8 9 2 2 2" xfId="31945" xr:uid="{00000000-0005-0000-0000-0000A5640000}"/>
    <cellStyle name="Output 8 9 2 3" xfId="18994" xr:uid="{00000000-0005-0000-0000-0000A6640000}"/>
    <cellStyle name="Output 8 9 3" xfId="13652" xr:uid="{00000000-0005-0000-0000-0000A7640000}"/>
    <cellStyle name="Output 8 9 3 2" xfId="28484" xr:uid="{00000000-0005-0000-0000-0000A8640000}"/>
    <cellStyle name="Output 8 9 4" xfId="10735" xr:uid="{00000000-0005-0000-0000-0000A9640000}"/>
    <cellStyle name="Output 8 9 4 2" xfId="25567" xr:uid="{00000000-0005-0000-0000-0000AA640000}"/>
    <cellStyle name="Output 9" xfId="1245" xr:uid="{00000000-0005-0000-0000-0000AB640000}"/>
    <cellStyle name="Output 9 10" xfId="2331" xr:uid="{00000000-0005-0000-0000-0000AC640000}"/>
    <cellStyle name="Output 9 10 2" xfId="6443" xr:uid="{00000000-0005-0000-0000-0000AD640000}"/>
    <cellStyle name="Output 9 10 2 2" xfId="16536" xr:uid="{00000000-0005-0000-0000-0000AE640000}"/>
    <cellStyle name="Output 9 10 2 2 2" xfId="31368" xr:uid="{00000000-0005-0000-0000-0000AF640000}"/>
    <cellStyle name="Output 9 10 2 3" xfId="18624" xr:uid="{00000000-0005-0000-0000-0000B0640000}"/>
    <cellStyle name="Output 9 10 3" xfId="12671" xr:uid="{00000000-0005-0000-0000-0000B1640000}"/>
    <cellStyle name="Output 9 10 3 2" xfId="27503" xr:uid="{00000000-0005-0000-0000-0000B2640000}"/>
    <cellStyle name="Output 9 10 4" xfId="10187" xr:uid="{00000000-0005-0000-0000-0000B3640000}"/>
    <cellStyle name="Output 9 10 4 2" xfId="25019" xr:uid="{00000000-0005-0000-0000-0000B4640000}"/>
    <cellStyle name="Output 9 11" xfId="5294" xr:uid="{00000000-0005-0000-0000-0000B5640000}"/>
    <cellStyle name="Output 9 11 2" xfId="9302" xr:uid="{00000000-0005-0000-0000-0000B6640000}"/>
    <cellStyle name="Output 9 11 2 2" xfId="18169" xr:uid="{00000000-0005-0000-0000-0000B7640000}"/>
    <cellStyle name="Output 9 11 2 2 2" xfId="33001" xr:uid="{00000000-0005-0000-0000-0000B8640000}"/>
    <cellStyle name="Output 9 11 2 3" xfId="19688" xr:uid="{00000000-0005-0000-0000-0000B9640000}"/>
    <cellStyle name="Output 9 11 3" xfId="15610" xr:uid="{00000000-0005-0000-0000-0000BA640000}"/>
    <cellStyle name="Output 9 11 3 2" xfId="30442" xr:uid="{00000000-0005-0000-0000-0000BB640000}"/>
    <cellStyle name="Output 9 12" xfId="5452" xr:uid="{00000000-0005-0000-0000-0000BC640000}"/>
    <cellStyle name="Output 9 12 2" xfId="15688" xr:uid="{00000000-0005-0000-0000-0000BD640000}"/>
    <cellStyle name="Output 9 12 2 2" xfId="30520" xr:uid="{00000000-0005-0000-0000-0000BE640000}"/>
    <cellStyle name="Output 9 12 3" xfId="18265" xr:uid="{00000000-0005-0000-0000-0000BF640000}"/>
    <cellStyle name="Output 9 13" xfId="9339" xr:uid="{00000000-0005-0000-0000-0000C0640000}"/>
    <cellStyle name="Output 9 13 2" xfId="24645" xr:uid="{00000000-0005-0000-0000-0000C1640000}"/>
    <cellStyle name="Output 9 14" xfId="5328" xr:uid="{00000000-0005-0000-0000-0000C2640000}"/>
    <cellStyle name="Output 9 14 2" xfId="18202" xr:uid="{00000000-0005-0000-0000-0000C3640000}"/>
    <cellStyle name="Output 9 2" xfId="1364" xr:uid="{00000000-0005-0000-0000-0000C4640000}"/>
    <cellStyle name="Output 9 2 2" xfId="1868" xr:uid="{00000000-0005-0000-0000-0000C5640000}"/>
    <cellStyle name="Output 9 2 2 2" xfId="4096" xr:uid="{00000000-0005-0000-0000-0000C6640000}"/>
    <cellStyle name="Output 9 2 2 2 2" xfId="8142" xr:uid="{00000000-0005-0000-0000-0000C7640000}"/>
    <cellStyle name="Output 9 2 2 2 2 2" xfId="17515" xr:uid="{00000000-0005-0000-0000-0000C8640000}"/>
    <cellStyle name="Output 9 2 2 2 2 2 2" xfId="32347" xr:uid="{00000000-0005-0000-0000-0000C9640000}"/>
    <cellStyle name="Output 9 2 2 2 2 3" xfId="19265" xr:uid="{00000000-0005-0000-0000-0000CA640000}"/>
    <cellStyle name="Output 9 2 2 2 3" xfId="14428" xr:uid="{00000000-0005-0000-0000-0000CB640000}"/>
    <cellStyle name="Output 9 2 2 2 3 2" xfId="29260" xr:uid="{00000000-0005-0000-0000-0000CC640000}"/>
    <cellStyle name="Output 9 2 2 2 4" xfId="11132" xr:uid="{00000000-0005-0000-0000-0000CD640000}"/>
    <cellStyle name="Output 9 2 2 2 4 2" xfId="25964" xr:uid="{00000000-0005-0000-0000-0000CE640000}"/>
    <cellStyle name="Output 9 2 2 3" xfId="4846" xr:uid="{00000000-0005-0000-0000-0000CF640000}"/>
    <cellStyle name="Output 9 2 2 3 2" xfId="8885" xr:uid="{00000000-0005-0000-0000-0000D0640000}"/>
    <cellStyle name="Output 9 2 2 3 2 2" xfId="17926" xr:uid="{00000000-0005-0000-0000-0000D1640000}"/>
    <cellStyle name="Output 9 2 2 3 2 2 2" xfId="32758" xr:uid="{00000000-0005-0000-0000-0000D2640000}"/>
    <cellStyle name="Output 9 2 2 3 2 3" xfId="19528" xr:uid="{00000000-0005-0000-0000-0000D3640000}"/>
    <cellStyle name="Output 9 2 2 3 3" xfId="15170" xr:uid="{00000000-0005-0000-0000-0000D4640000}"/>
    <cellStyle name="Output 9 2 2 3 3 2" xfId="30002" xr:uid="{00000000-0005-0000-0000-0000D5640000}"/>
    <cellStyle name="Output 9 2 2 3 4" xfId="11529" xr:uid="{00000000-0005-0000-0000-0000D6640000}"/>
    <cellStyle name="Output 9 2 2 3 4 2" xfId="26361" xr:uid="{00000000-0005-0000-0000-0000D7640000}"/>
    <cellStyle name="Output 9 2 2 4" xfId="2836" xr:uid="{00000000-0005-0000-0000-0000D8640000}"/>
    <cellStyle name="Output 9 2 2 4 2" xfId="6927" xr:uid="{00000000-0005-0000-0000-0000D9640000}"/>
    <cellStyle name="Output 9 2 2 4 2 2" xfId="16820" xr:uid="{00000000-0005-0000-0000-0000DA640000}"/>
    <cellStyle name="Output 9 2 2 4 2 2 2" xfId="31652" xr:uid="{00000000-0005-0000-0000-0000DB640000}"/>
    <cellStyle name="Output 9 2 2 4 2 3" xfId="18819" xr:uid="{00000000-0005-0000-0000-0000DC640000}"/>
    <cellStyle name="Output 9 2 2 4 3" xfId="13174" xr:uid="{00000000-0005-0000-0000-0000DD640000}"/>
    <cellStyle name="Output 9 2 2 4 3 2" xfId="28006" xr:uid="{00000000-0005-0000-0000-0000DE640000}"/>
    <cellStyle name="Output 9 2 2 4 4" xfId="10473" xr:uid="{00000000-0005-0000-0000-0000DF640000}"/>
    <cellStyle name="Output 9 2 2 4 4 2" xfId="25305" xr:uid="{00000000-0005-0000-0000-0000E0640000}"/>
    <cellStyle name="Output 9 2 2 5" xfId="6000" xr:uid="{00000000-0005-0000-0000-0000E1640000}"/>
    <cellStyle name="Output 9 2 2 5 2" xfId="16192" xr:uid="{00000000-0005-0000-0000-0000E2640000}"/>
    <cellStyle name="Output 9 2 2 5 2 2" xfId="31024" xr:uid="{00000000-0005-0000-0000-0000E3640000}"/>
    <cellStyle name="Output 9 2 2 5 3" xfId="18461" xr:uid="{00000000-0005-0000-0000-0000E4640000}"/>
    <cellStyle name="Output 9 2 2 6" xfId="12262" xr:uid="{00000000-0005-0000-0000-0000E5640000}"/>
    <cellStyle name="Output 9 2 2 6 2" xfId="27094" xr:uid="{00000000-0005-0000-0000-0000E6640000}"/>
    <cellStyle name="Output 9 2 2 7" xfId="9858" xr:uid="{00000000-0005-0000-0000-0000E7640000}"/>
    <cellStyle name="Output 9 2 2 7 2" xfId="24784" xr:uid="{00000000-0005-0000-0000-0000E8640000}"/>
    <cellStyle name="Output 9 2 3" xfId="3205" xr:uid="{00000000-0005-0000-0000-0000E9640000}"/>
    <cellStyle name="Output 9 2 3 2" xfId="7269" xr:uid="{00000000-0005-0000-0000-0000EA640000}"/>
    <cellStyle name="Output 9 2 3 2 2" xfId="17036" xr:uid="{00000000-0005-0000-0000-0000EB640000}"/>
    <cellStyle name="Output 9 2 3 2 2 2" xfId="31868" xr:uid="{00000000-0005-0000-0000-0000EC640000}"/>
    <cellStyle name="Output 9 2 3 2 3" xfId="18962" xr:uid="{00000000-0005-0000-0000-0000ED640000}"/>
    <cellStyle name="Output 9 2 3 3" xfId="13543" xr:uid="{00000000-0005-0000-0000-0000EE640000}"/>
    <cellStyle name="Output 9 2 3 3 2" xfId="28375" xr:uid="{00000000-0005-0000-0000-0000EF640000}"/>
    <cellStyle name="Output 9 2 3 4" xfId="10680" xr:uid="{00000000-0005-0000-0000-0000F0640000}"/>
    <cellStyle name="Output 9 2 3 4 2" xfId="25512" xr:uid="{00000000-0005-0000-0000-0000F1640000}"/>
    <cellStyle name="Output 9 2 4" xfId="4426" xr:uid="{00000000-0005-0000-0000-0000F2640000}"/>
    <cellStyle name="Output 9 2 4 2" xfId="8465" xr:uid="{00000000-0005-0000-0000-0000F3640000}"/>
    <cellStyle name="Output 9 2 4 2 2" xfId="17686" xr:uid="{00000000-0005-0000-0000-0000F4640000}"/>
    <cellStyle name="Output 9 2 4 2 2 2" xfId="32518" xr:uid="{00000000-0005-0000-0000-0000F5640000}"/>
    <cellStyle name="Output 9 2 4 2 3" xfId="19368" xr:uid="{00000000-0005-0000-0000-0000F6640000}"/>
    <cellStyle name="Output 9 2 4 3" xfId="14755" xr:uid="{00000000-0005-0000-0000-0000F7640000}"/>
    <cellStyle name="Output 9 2 4 3 2" xfId="29587" xr:uid="{00000000-0005-0000-0000-0000F8640000}"/>
    <cellStyle name="Output 9 2 4 4" xfId="11294" xr:uid="{00000000-0005-0000-0000-0000F9640000}"/>
    <cellStyle name="Output 9 2 4 4 2" xfId="26126" xr:uid="{00000000-0005-0000-0000-0000FA640000}"/>
    <cellStyle name="Output 9 2 5" xfId="2416" xr:uid="{00000000-0005-0000-0000-0000FB640000}"/>
    <cellStyle name="Output 9 2 5 2" xfId="6528" xr:uid="{00000000-0005-0000-0000-0000FC640000}"/>
    <cellStyle name="Output 9 2 5 2 2" xfId="16584" xr:uid="{00000000-0005-0000-0000-0000FD640000}"/>
    <cellStyle name="Output 9 2 5 2 2 2" xfId="31416" xr:uid="{00000000-0005-0000-0000-0000FE640000}"/>
    <cellStyle name="Output 9 2 5 2 3" xfId="18656" xr:uid="{00000000-0005-0000-0000-0000FF640000}"/>
    <cellStyle name="Output 9 2 5 3" xfId="12755" xr:uid="{00000000-0005-0000-0000-000000650000}"/>
    <cellStyle name="Output 9 2 5 3 2" xfId="27587" xr:uid="{00000000-0005-0000-0000-000001650000}"/>
    <cellStyle name="Output 9 2 5 4" xfId="10234" xr:uid="{00000000-0005-0000-0000-000002650000}"/>
    <cellStyle name="Output 9 2 5 4 2" xfId="25066" xr:uid="{00000000-0005-0000-0000-000003650000}"/>
    <cellStyle name="Output 9 2 6" xfId="5541" xr:uid="{00000000-0005-0000-0000-000004650000}"/>
    <cellStyle name="Output 9 2 6 2" xfId="15776" xr:uid="{00000000-0005-0000-0000-000005650000}"/>
    <cellStyle name="Output 9 2 6 2 2" xfId="30608" xr:uid="{00000000-0005-0000-0000-000006650000}"/>
    <cellStyle name="Output 9 2 6 3" xfId="18298" xr:uid="{00000000-0005-0000-0000-000007650000}"/>
    <cellStyle name="Output 9 2 7" xfId="11791" xr:uid="{00000000-0005-0000-0000-000008650000}"/>
    <cellStyle name="Output 9 2 7 2" xfId="26623" xr:uid="{00000000-0005-0000-0000-000009650000}"/>
    <cellStyle name="Output 9 2 8" xfId="9462" xr:uid="{00000000-0005-0000-0000-00000A650000}"/>
    <cellStyle name="Output 9 2 8 2" xfId="19766" xr:uid="{00000000-0005-0000-0000-00000B650000}"/>
    <cellStyle name="Output 9 3" xfId="1534" xr:uid="{00000000-0005-0000-0000-00000C650000}"/>
    <cellStyle name="Output 9 3 2" xfId="2031" xr:uid="{00000000-0005-0000-0000-00000D650000}"/>
    <cellStyle name="Output 9 3 2 2" xfId="3391" xr:uid="{00000000-0005-0000-0000-00000E650000}"/>
    <cellStyle name="Output 9 3 2 2 2" xfId="7454" xr:uid="{00000000-0005-0000-0000-00000F650000}"/>
    <cellStyle name="Output 9 3 2 2 2 2" xfId="17158" xr:uid="{00000000-0005-0000-0000-000010650000}"/>
    <cellStyle name="Output 9 3 2 2 2 2 2" xfId="31990" xr:uid="{00000000-0005-0000-0000-000011650000}"/>
    <cellStyle name="Output 9 3 2 2 2 3" xfId="19020" xr:uid="{00000000-0005-0000-0000-000012650000}"/>
    <cellStyle name="Output 9 3 2 2 3" xfId="13728" xr:uid="{00000000-0005-0000-0000-000013650000}"/>
    <cellStyle name="Output 9 3 2 2 3 2" xfId="28560" xr:uid="{00000000-0005-0000-0000-000014650000}"/>
    <cellStyle name="Output 9 3 2 2 4" xfId="10777" xr:uid="{00000000-0005-0000-0000-000015650000}"/>
    <cellStyle name="Output 9 3 2 2 4 2" xfId="25609" xr:uid="{00000000-0005-0000-0000-000016650000}"/>
    <cellStyle name="Output 9 3 2 3" xfId="4999" xr:uid="{00000000-0005-0000-0000-000017650000}"/>
    <cellStyle name="Output 9 3 2 3 2" xfId="9038" xr:uid="{00000000-0005-0000-0000-000018650000}"/>
    <cellStyle name="Output 9 3 2 3 2 2" xfId="17976" xr:uid="{00000000-0005-0000-0000-000019650000}"/>
    <cellStyle name="Output 9 3 2 3 2 2 2" xfId="32808" xr:uid="{00000000-0005-0000-0000-00001A650000}"/>
    <cellStyle name="Output 9 3 2 3 2 3" xfId="19560" xr:uid="{00000000-0005-0000-0000-00001B650000}"/>
    <cellStyle name="Output 9 3 2 3 3" xfId="15321" xr:uid="{00000000-0005-0000-0000-00001C650000}"/>
    <cellStyle name="Output 9 3 2 3 3 2" xfId="30153" xr:uid="{00000000-0005-0000-0000-00001D650000}"/>
    <cellStyle name="Output 9 3 2 3 4" xfId="11577" xr:uid="{00000000-0005-0000-0000-00001E650000}"/>
    <cellStyle name="Output 9 3 2 3 4 2" xfId="26409" xr:uid="{00000000-0005-0000-0000-00001F650000}"/>
    <cellStyle name="Output 9 3 2 4" xfId="2989" xr:uid="{00000000-0005-0000-0000-000020650000}"/>
    <cellStyle name="Output 9 3 2 4 2" xfId="7069" xr:uid="{00000000-0005-0000-0000-000021650000}"/>
    <cellStyle name="Output 9 3 2 4 2 2" xfId="16868" xr:uid="{00000000-0005-0000-0000-000022650000}"/>
    <cellStyle name="Output 9 3 2 4 2 2 2" xfId="31700" xr:uid="{00000000-0005-0000-0000-000023650000}"/>
    <cellStyle name="Output 9 3 2 4 2 3" xfId="18852" xr:uid="{00000000-0005-0000-0000-000024650000}"/>
    <cellStyle name="Output 9 3 2 4 3" xfId="13327" xr:uid="{00000000-0005-0000-0000-000025650000}"/>
    <cellStyle name="Output 9 3 2 4 3 2" xfId="28159" xr:uid="{00000000-0005-0000-0000-000026650000}"/>
    <cellStyle name="Output 9 3 2 4 4" xfId="10523" xr:uid="{00000000-0005-0000-0000-000027650000}"/>
    <cellStyle name="Output 9 3 2 4 4 2" xfId="25355" xr:uid="{00000000-0005-0000-0000-000028650000}"/>
    <cellStyle name="Output 9 3 2 5" xfId="6161" xr:uid="{00000000-0005-0000-0000-000029650000}"/>
    <cellStyle name="Output 9 3 2 5 2" xfId="16348" xr:uid="{00000000-0005-0000-0000-00002A650000}"/>
    <cellStyle name="Output 9 3 2 5 2 2" xfId="31180" xr:uid="{00000000-0005-0000-0000-00002B650000}"/>
    <cellStyle name="Output 9 3 2 5 3" xfId="18493" xr:uid="{00000000-0005-0000-0000-00002C650000}"/>
    <cellStyle name="Output 9 3 2 6" xfId="12418" xr:uid="{00000000-0005-0000-0000-00002D650000}"/>
    <cellStyle name="Output 9 3 2 6 2" xfId="27250" xr:uid="{00000000-0005-0000-0000-00002E650000}"/>
    <cellStyle name="Output 9 3 2 7" xfId="10000" xr:uid="{00000000-0005-0000-0000-00002F650000}"/>
    <cellStyle name="Output 9 3 2 7 2" xfId="24832" xr:uid="{00000000-0005-0000-0000-000030650000}"/>
    <cellStyle name="Output 9 3 3" xfId="3155" xr:uid="{00000000-0005-0000-0000-000031650000}"/>
    <cellStyle name="Output 9 3 3 2" xfId="7219" xr:uid="{00000000-0005-0000-0000-000032650000}"/>
    <cellStyle name="Output 9 3 3 2 2" xfId="16997" xr:uid="{00000000-0005-0000-0000-000033650000}"/>
    <cellStyle name="Output 9 3 3 2 2 2" xfId="31829" xr:uid="{00000000-0005-0000-0000-000034650000}"/>
    <cellStyle name="Output 9 3 3 2 3" xfId="18944" xr:uid="{00000000-0005-0000-0000-000035650000}"/>
    <cellStyle name="Output 9 3 3 3" xfId="13493" xr:uid="{00000000-0005-0000-0000-000036650000}"/>
    <cellStyle name="Output 9 3 3 3 2" xfId="28325" xr:uid="{00000000-0005-0000-0000-000037650000}"/>
    <cellStyle name="Output 9 3 3 4" xfId="10649" xr:uid="{00000000-0005-0000-0000-000038650000}"/>
    <cellStyle name="Output 9 3 3 4 2" xfId="25481" xr:uid="{00000000-0005-0000-0000-000039650000}"/>
    <cellStyle name="Output 9 3 4" xfId="4579" xr:uid="{00000000-0005-0000-0000-00003A650000}"/>
    <cellStyle name="Output 9 3 4 2" xfId="8618" xr:uid="{00000000-0005-0000-0000-00003B650000}"/>
    <cellStyle name="Output 9 3 4 2 2" xfId="17736" xr:uid="{00000000-0005-0000-0000-00003C650000}"/>
    <cellStyle name="Output 9 3 4 2 2 2" xfId="32568" xr:uid="{00000000-0005-0000-0000-00003D650000}"/>
    <cellStyle name="Output 9 3 4 2 3" xfId="19400" xr:uid="{00000000-0005-0000-0000-00003E650000}"/>
    <cellStyle name="Output 9 3 4 3" xfId="14906" xr:uid="{00000000-0005-0000-0000-00003F650000}"/>
    <cellStyle name="Output 9 3 4 3 2" xfId="29738" xr:uid="{00000000-0005-0000-0000-000040650000}"/>
    <cellStyle name="Output 9 3 4 4" xfId="11342" xr:uid="{00000000-0005-0000-0000-000041650000}"/>
    <cellStyle name="Output 9 3 4 4 2" xfId="26174" xr:uid="{00000000-0005-0000-0000-000042650000}"/>
    <cellStyle name="Output 9 3 5" xfId="2569" xr:uid="{00000000-0005-0000-0000-000043650000}"/>
    <cellStyle name="Output 9 3 5 2" xfId="6675" xr:uid="{00000000-0005-0000-0000-000044650000}"/>
    <cellStyle name="Output 9 3 5 2 2" xfId="16633" xr:uid="{00000000-0005-0000-0000-000045650000}"/>
    <cellStyle name="Output 9 3 5 2 2 2" xfId="31465" xr:uid="{00000000-0005-0000-0000-000046650000}"/>
    <cellStyle name="Output 9 3 5 2 3" xfId="18688" xr:uid="{00000000-0005-0000-0000-000047650000}"/>
    <cellStyle name="Output 9 3 5 3" xfId="12907" xr:uid="{00000000-0005-0000-0000-000048650000}"/>
    <cellStyle name="Output 9 3 5 3 2" xfId="27739" xr:uid="{00000000-0005-0000-0000-000049650000}"/>
    <cellStyle name="Output 9 3 5 4" xfId="10283" xr:uid="{00000000-0005-0000-0000-00004A650000}"/>
    <cellStyle name="Output 9 3 5 4 2" xfId="25115" xr:uid="{00000000-0005-0000-0000-00004B650000}"/>
    <cellStyle name="Output 9 3 6" xfId="5692" xr:uid="{00000000-0005-0000-0000-00004C650000}"/>
    <cellStyle name="Output 9 3 6 2" xfId="15927" xr:uid="{00000000-0005-0000-0000-00004D650000}"/>
    <cellStyle name="Output 9 3 6 2 2" xfId="30759" xr:uid="{00000000-0005-0000-0000-00004E650000}"/>
    <cellStyle name="Output 9 3 6 3" xfId="18330" xr:uid="{00000000-0005-0000-0000-00004F650000}"/>
    <cellStyle name="Output 9 3 7" xfId="11947" xr:uid="{00000000-0005-0000-0000-000050650000}"/>
    <cellStyle name="Output 9 3 7 2" xfId="26779" xr:uid="{00000000-0005-0000-0000-000051650000}"/>
    <cellStyle name="Output 9 3 8" xfId="9605" xr:uid="{00000000-0005-0000-0000-000052650000}"/>
    <cellStyle name="Output 9 3 8 2" xfId="19907" xr:uid="{00000000-0005-0000-0000-000053650000}"/>
    <cellStyle name="Output 9 4" xfId="1589" xr:uid="{00000000-0005-0000-0000-000054650000}"/>
    <cellStyle name="Output 9 4 2" xfId="2086" xr:uid="{00000000-0005-0000-0000-000055650000}"/>
    <cellStyle name="Output 9 4 2 2" xfId="3531" xr:uid="{00000000-0005-0000-0000-000056650000}"/>
    <cellStyle name="Output 9 4 2 2 2" xfId="7593" xr:uid="{00000000-0005-0000-0000-000057650000}"/>
    <cellStyle name="Output 9 4 2 2 2 2" xfId="17238" xr:uid="{00000000-0005-0000-0000-000058650000}"/>
    <cellStyle name="Output 9 4 2 2 2 2 2" xfId="32070" xr:uid="{00000000-0005-0000-0000-000059650000}"/>
    <cellStyle name="Output 9 4 2 2 2 3" xfId="19066" xr:uid="{00000000-0005-0000-0000-00005A650000}"/>
    <cellStyle name="Output 9 4 2 2 3" xfId="13868" xr:uid="{00000000-0005-0000-0000-00005B650000}"/>
    <cellStyle name="Output 9 4 2 2 3 2" xfId="28700" xr:uid="{00000000-0005-0000-0000-00005C650000}"/>
    <cellStyle name="Output 9 4 2 2 4" xfId="10856" xr:uid="{00000000-0005-0000-0000-00005D650000}"/>
    <cellStyle name="Output 9 4 2 2 4 2" xfId="25688" xr:uid="{00000000-0005-0000-0000-00005E650000}"/>
    <cellStyle name="Output 9 4 2 3" xfId="5054" xr:uid="{00000000-0005-0000-0000-00005F650000}"/>
    <cellStyle name="Output 9 4 2 3 2" xfId="9093" xr:uid="{00000000-0005-0000-0000-000060650000}"/>
    <cellStyle name="Output 9 4 2 3 2 2" xfId="18026" xr:uid="{00000000-0005-0000-0000-000061650000}"/>
    <cellStyle name="Output 9 4 2 3 2 2 2" xfId="32858" xr:uid="{00000000-0005-0000-0000-000062650000}"/>
    <cellStyle name="Output 9 4 2 3 2 3" xfId="19592" xr:uid="{00000000-0005-0000-0000-000063650000}"/>
    <cellStyle name="Output 9 4 2 3 3" xfId="15375" xr:uid="{00000000-0005-0000-0000-000064650000}"/>
    <cellStyle name="Output 9 4 2 3 3 2" xfId="30207" xr:uid="{00000000-0005-0000-0000-000065650000}"/>
    <cellStyle name="Output 9 4 2 3 4" xfId="11626" xr:uid="{00000000-0005-0000-0000-000066650000}"/>
    <cellStyle name="Output 9 4 2 3 4 2" xfId="26458" xr:uid="{00000000-0005-0000-0000-000067650000}"/>
    <cellStyle name="Output 9 4 2 4" xfId="3044" xr:uid="{00000000-0005-0000-0000-000068650000}"/>
    <cellStyle name="Output 9 4 2 4 2" xfId="7119" xr:uid="{00000000-0005-0000-0000-000069650000}"/>
    <cellStyle name="Output 9 4 2 4 2 2" xfId="16917" xr:uid="{00000000-0005-0000-0000-00006A650000}"/>
    <cellStyle name="Output 9 4 2 4 2 2 2" xfId="31749" xr:uid="{00000000-0005-0000-0000-00006B650000}"/>
    <cellStyle name="Output 9 4 2 4 2 3" xfId="18885" xr:uid="{00000000-0005-0000-0000-00006C650000}"/>
    <cellStyle name="Output 9 4 2 4 3" xfId="13382" xr:uid="{00000000-0005-0000-0000-00006D650000}"/>
    <cellStyle name="Output 9 4 2 4 3 2" xfId="28214" xr:uid="{00000000-0005-0000-0000-00006E650000}"/>
    <cellStyle name="Output 9 4 2 4 4" xfId="10573" xr:uid="{00000000-0005-0000-0000-00006F650000}"/>
    <cellStyle name="Output 9 4 2 4 4 2" xfId="25405" xr:uid="{00000000-0005-0000-0000-000070650000}"/>
    <cellStyle name="Output 9 4 2 5" xfId="6211" xr:uid="{00000000-0005-0000-0000-000071650000}"/>
    <cellStyle name="Output 9 4 2 5 2" xfId="16397" xr:uid="{00000000-0005-0000-0000-000072650000}"/>
    <cellStyle name="Output 9 4 2 5 2 2" xfId="31229" xr:uid="{00000000-0005-0000-0000-000073650000}"/>
    <cellStyle name="Output 9 4 2 5 3" xfId="18526" xr:uid="{00000000-0005-0000-0000-000074650000}"/>
    <cellStyle name="Output 9 4 2 6" xfId="12467" xr:uid="{00000000-0005-0000-0000-000075650000}"/>
    <cellStyle name="Output 9 4 2 6 2" xfId="27299" xr:uid="{00000000-0005-0000-0000-000076650000}"/>
    <cellStyle name="Output 9 4 2 7" xfId="10049" xr:uid="{00000000-0005-0000-0000-000077650000}"/>
    <cellStyle name="Output 9 4 2 7 2" xfId="24881" xr:uid="{00000000-0005-0000-0000-000078650000}"/>
    <cellStyle name="Output 9 4 3" xfId="4322" xr:uid="{00000000-0005-0000-0000-000079650000}"/>
    <cellStyle name="Output 9 4 3 2" xfId="8361" xr:uid="{00000000-0005-0000-0000-00007A650000}"/>
    <cellStyle name="Output 9 4 3 2 2" xfId="17639" xr:uid="{00000000-0005-0000-0000-00007B650000}"/>
    <cellStyle name="Output 9 4 3 2 2 2" xfId="32471" xr:uid="{00000000-0005-0000-0000-00007C650000}"/>
    <cellStyle name="Output 9 4 3 2 3" xfId="19341" xr:uid="{00000000-0005-0000-0000-00007D650000}"/>
    <cellStyle name="Output 9 4 3 3" xfId="14653" xr:uid="{00000000-0005-0000-0000-00007E650000}"/>
    <cellStyle name="Output 9 4 3 3 2" xfId="29485" xr:uid="{00000000-0005-0000-0000-00007F650000}"/>
    <cellStyle name="Output 9 4 3 4" xfId="11249" xr:uid="{00000000-0005-0000-0000-000080650000}"/>
    <cellStyle name="Output 9 4 3 4 2" xfId="26081" xr:uid="{00000000-0005-0000-0000-000081650000}"/>
    <cellStyle name="Output 9 4 4" xfId="4634" xr:uid="{00000000-0005-0000-0000-000082650000}"/>
    <cellStyle name="Output 9 4 4 2" xfId="8673" xr:uid="{00000000-0005-0000-0000-000083650000}"/>
    <cellStyle name="Output 9 4 4 2 2" xfId="17786" xr:uid="{00000000-0005-0000-0000-000084650000}"/>
    <cellStyle name="Output 9 4 4 2 2 2" xfId="32618" xr:uid="{00000000-0005-0000-0000-000085650000}"/>
    <cellStyle name="Output 9 4 4 2 3" xfId="19432" xr:uid="{00000000-0005-0000-0000-000086650000}"/>
    <cellStyle name="Output 9 4 4 3" xfId="14960" xr:uid="{00000000-0005-0000-0000-000087650000}"/>
    <cellStyle name="Output 9 4 4 3 2" xfId="29792" xr:uid="{00000000-0005-0000-0000-000088650000}"/>
    <cellStyle name="Output 9 4 4 4" xfId="11391" xr:uid="{00000000-0005-0000-0000-000089650000}"/>
    <cellStyle name="Output 9 4 4 4 2" xfId="26223" xr:uid="{00000000-0005-0000-0000-00008A650000}"/>
    <cellStyle name="Output 9 4 5" xfId="2624" xr:uid="{00000000-0005-0000-0000-00008B650000}"/>
    <cellStyle name="Output 9 4 5 2" xfId="6725" xr:uid="{00000000-0005-0000-0000-00008C650000}"/>
    <cellStyle name="Output 9 4 5 2 2" xfId="16682" xr:uid="{00000000-0005-0000-0000-00008D650000}"/>
    <cellStyle name="Output 9 4 5 2 2 2" xfId="31514" xr:uid="{00000000-0005-0000-0000-00008E650000}"/>
    <cellStyle name="Output 9 4 5 2 3" xfId="18721" xr:uid="{00000000-0005-0000-0000-00008F650000}"/>
    <cellStyle name="Output 9 4 5 3" xfId="12962" xr:uid="{00000000-0005-0000-0000-000090650000}"/>
    <cellStyle name="Output 9 4 5 3 2" xfId="27794" xr:uid="{00000000-0005-0000-0000-000091650000}"/>
    <cellStyle name="Output 9 4 5 4" xfId="10333" xr:uid="{00000000-0005-0000-0000-000092650000}"/>
    <cellStyle name="Output 9 4 5 4 2" xfId="25165" xr:uid="{00000000-0005-0000-0000-000093650000}"/>
    <cellStyle name="Output 9 4 6" xfId="5741" xr:uid="{00000000-0005-0000-0000-000094650000}"/>
    <cellStyle name="Output 9 4 6 2" xfId="15976" xr:uid="{00000000-0005-0000-0000-000095650000}"/>
    <cellStyle name="Output 9 4 6 2 2" xfId="30808" xr:uid="{00000000-0005-0000-0000-000096650000}"/>
    <cellStyle name="Output 9 4 6 3" xfId="18362" xr:uid="{00000000-0005-0000-0000-000097650000}"/>
    <cellStyle name="Output 9 4 7" xfId="11996" xr:uid="{00000000-0005-0000-0000-000098650000}"/>
    <cellStyle name="Output 9 4 7 2" xfId="26828" xr:uid="{00000000-0005-0000-0000-000099650000}"/>
    <cellStyle name="Output 9 4 8" xfId="9655" xr:uid="{00000000-0005-0000-0000-00009A650000}"/>
    <cellStyle name="Output 9 4 8 2" xfId="19956" xr:uid="{00000000-0005-0000-0000-00009B650000}"/>
    <cellStyle name="Output 9 5" xfId="1639" xr:uid="{00000000-0005-0000-0000-00009C650000}"/>
    <cellStyle name="Output 9 5 2" xfId="2136" xr:uid="{00000000-0005-0000-0000-00009D650000}"/>
    <cellStyle name="Output 9 5 2 2" xfId="4307" xr:uid="{00000000-0005-0000-0000-00009E650000}"/>
    <cellStyle name="Output 9 5 2 2 2" xfId="8346" xr:uid="{00000000-0005-0000-0000-00009F650000}"/>
    <cellStyle name="Output 9 5 2 2 2 2" xfId="17625" xr:uid="{00000000-0005-0000-0000-0000A0650000}"/>
    <cellStyle name="Output 9 5 2 2 2 2 2" xfId="32457" xr:uid="{00000000-0005-0000-0000-0000A1650000}"/>
    <cellStyle name="Output 9 5 2 2 2 3" xfId="19329" xr:uid="{00000000-0005-0000-0000-0000A2650000}"/>
    <cellStyle name="Output 9 5 2 2 3" xfId="14638" xr:uid="{00000000-0005-0000-0000-0000A3650000}"/>
    <cellStyle name="Output 9 5 2 2 3 2" xfId="29470" xr:uid="{00000000-0005-0000-0000-0000A4650000}"/>
    <cellStyle name="Output 9 5 2 2 4" xfId="11236" xr:uid="{00000000-0005-0000-0000-0000A5650000}"/>
    <cellStyle name="Output 9 5 2 2 4 2" xfId="26068" xr:uid="{00000000-0005-0000-0000-0000A6650000}"/>
    <cellStyle name="Output 9 5 2 3" xfId="5104" xr:uid="{00000000-0005-0000-0000-0000A7650000}"/>
    <cellStyle name="Output 9 5 2 3 2" xfId="9143" xr:uid="{00000000-0005-0000-0000-0000A8650000}"/>
    <cellStyle name="Output 9 5 2 3 2 2" xfId="18071" xr:uid="{00000000-0005-0000-0000-0000A9650000}"/>
    <cellStyle name="Output 9 5 2 3 2 2 2" xfId="32903" xr:uid="{00000000-0005-0000-0000-0000AA650000}"/>
    <cellStyle name="Output 9 5 2 3 2 3" xfId="19624" xr:uid="{00000000-0005-0000-0000-0000AB650000}"/>
    <cellStyle name="Output 9 5 2 3 3" xfId="15424" xr:uid="{00000000-0005-0000-0000-0000AC650000}"/>
    <cellStyle name="Output 9 5 2 3 3 2" xfId="30256" xr:uid="{00000000-0005-0000-0000-0000AD650000}"/>
    <cellStyle name="Output 9 5 2 3 4" xfId="11670" xr:uid="{00000000-0005-0000-0000-0000AE650000}"/>
    <cellStyle name="Output 9 5 2 3 4 2" xfId="26502" xr:uid="{00000000-0005-0000-0000-0000AF650000}"/>
    <cellStyle name="Output 9 5 2 4" xfId="3094" xr:uid="{00000000-0005-0000-0000-0000B0650000}"/>
    <cellStyle name="Output 9 5 2 4 2" xfId="7164" xr:uid="{00000000-0005-0000-0000-0000B1650000}"/>
    <cellStyle name="Output 9 5 2 4 2 2" xfId="16961" xr:uid="{00000000-0005-0000-0000-0000B2650000}"/>
    <cellStyle name="Output 9 5 2 4 2 2 2" xfId="31793" xr:uid="{00000000-0005-0000-0000-0000B3650000}"/>
    <cellStyle name="Output 9 5 2 4 2 3" xfId="18918" xr:uid="{00000000-0005-0000-0000-0000B4650000}"/>
    <cellStyle name="Output 9 5 2 4 3" xfId="13432" xr:uid="{00000000-0005-0000-0000-0000B5650000}"/>
    <cellStyle name="Output 9 5 2 4 3 2" xfId="28264" xr:uid="{00000000-0005-0000-0000-0000B6650000}"/>
    <cellStyle name="Output 9 5 2 4 4" xfId="10618" xr:uid="{00000000-0005-0000-0000-0000B7650000}"/>
    <cellStyle name="Output 9 5 2 4 4 2" xfId="25450" xr:uid="{00000000-0005-0000-0000-0000B8650000}"/>
    <cellStyle name="Output 9 5 2 5" xfId="6256" xr:uid="{00000000-0005-0000-0000-0000B9650000}"/>
    <cellStyle name="Output 9 5 2 5 2" xfId="16441" xr:uid="{00000000-0005-0000-0000-0000BA650000}"/>
    <cellStyle name="Output 9 5 2 5 2 2" xfId="31273" xr:uid="{00000000-0005-0000-0000-0000BB650000}"/>
    <cellStyle name="Output 9 5 2 5 3" xfId="18559" xr:uid="{00000000-0005-0000-0000-0000BC650000}"/>
    <cellStyle name="Output 9 5 2 6" xfId="12511" xr:uid="{00000000-0005-0000-0000-0000BD650000}"/>
    <cellStyle name="Output 9 5 2 6 2" xfId="27343" xr:uid="{00000000-0005-0000-0000-0000BE650000}"/>
    <cellStyle name="Output 9 5 2 7" xfId="10093" xr:uid="{00000000-0005-0000-0000-0000BF650000}"/>
    <cellStyle name="Output 9 5 2 7 2" xfId="24925" xr:uid="{00000000-0005-0000-0000-0000C0650000}"/>
    <cellStyle name="Output 9 5 3" xfId="3677" xr:uid="{00000000-0005-0000-0000-0000C1650000}"/>
    <cellStyle name="Output 9 5 3 2" xfId="7735" xr:uid="{00000000-0005-0000-0000-0000C2650000}"/>
    <cellStyle name="Output 9 5 3 2 2" xfId="17312" xr:uid="{00000000-0005-0000-0000-0000C3650000}"/>
    <cellStyle name="Output 9 5 3 2 2 2" xfId="32144" xr:uid="{00000000-0005-0000-0000-0000C4650000}"/>
    <cellStyle name="Output 9 5 3 2 3" xfId="19120" xr:uid="{00000000-0005-0000-0000-0000C5650000}"/>
    <cellStyle name="Output 9 5 3 3" xfId="14012" xr:uid="{00000000-0005-0000-0000-0000C6650000}"/>
    <cellStyle name="Output 9 5 3 3 2" xfId="28844" xr:uid="{00000000-0005-0000-0000-0000C7650000}"/>
    <cellStyle name="Output 9 5 3 4" xfId="10929" xr:uid="{00000000-0005-0000-0000-0000C8650000}"/>
    <cellStyle name="Output 9 5 3 4 2" xfId="25761" xr:uid="{00000000-0005-0000-0000-0000C9650000}"/>
    <cellStyle name="Output 9 5 4" xfId="4684" xr:uid="{00000000-0005-0000-0000-0000CA650000}"/>
    <cellStyle name="Output 9 5 4 2" xfId="8723" xr:uid="{00000000-0005-0000-0000-0000CB650000}"/>
    <cellStyle name="Output 9 5 4 2 2" xfId="17831" xr:uid="{00000000-0005-0000-0000-0000CC650000}"/>
    <cellStyle name="Output 9 5 4 2 2 2" xfId="32663" xr:uid="{00000000-0005-0000-0000-0000CD650000}"/>
    <cellStyle name="Output 9 5 4 2 3" xfId="19464" xr:uid="{00000000-0005-0000-0000-0000CE650000}"/>
    <cellStyle name="Output 9 5 4 3" xfId="15009" xr:uid="{00000000-0005-0000-0000-0000CF650000}"/>
    <cellStyle name="Output 9 5 4 3 2" xfId="29841" xr:uid="{00000000-0005-0000-0000-0000D0650000}"/>
    <cellStyle name="Output 9 5 4 4" xfId="11435" xr:uid="{00000000-0005-0000-0000-0000D1650000}"/>
    <cellStyle name="Output 9 5 4 4 2" xfId="26267" xr:uid="{00000000-0005-0000-0000-0000D2650000}"/>
    <cellStyle name="Output 9 5 5" xfId="2674" xr:uid="{00000000-0005-0000-0000-0000D3650000}"/>
    <cellStyle name="Output 9 5 5 2" xfId="6770" xr:uid="{00000000-0005-0000-0000-0000D4650000}"/>
    <cellStyle name="Output 9 5 5 2 2" xfId="16726" xr:uid="{00000000-0005-0000-0000-0000D5650000}"/>
    <cellStyle name="Output 9 5 5 2 2 2" xfId="31558" xr:uid="{00000000-0005-0000-0000-0000D6650000}"/>
    <cellStyle name="Output 9 5 5 2 3" xfId="18754" xr:uid="{00000000-0005-0000-0000-0000D7650000}"/>
    <cellStyle name="Output 9 5 5 3" xfId="13012" xr:uid="{00000000-0005-0000-0000-0000D8650000}"/>
    <cellStyle name="Output 9 5 5 3 2" xfId="27844" xr:uid="{00000000-0005-0000-0000-0000D9650000}"/>
    <cellStyle name="Output 9 5 5 4" xfId="10378" xr:uid="{00000000-0005-0000-0000-0000DA650000}"/>
    <cellStyle name="Output 9 5 5 4 2" xfId="25210" xr:uid="{00000000-0005-0000-0000-0000DB650000}"/>
    <cellStyle name="Output 9 5 6" xfId="5786" xr:uid="{00000000-0005-0000-0000-0000DC650000}"/>
    <cellStyle name="Output 9 5 6 2" xfId="16020" xr:uid="{00000000-0005-0000-0000-0000DD650000}"/>
    <cellStyle name="Output 9 5 6 2 2" xfId="30852" xr:uid="{00000000-0005-0000-0000-0000DE650000}"/>
    <cellStyle name="Output 9 5 6 3" xfId="18395" xr:uid="{00000000-0005-0000-0000-0000DF650000}"/>
    <cellStyle name="Output 9 5 7" xfId="12040" xr:uid="{00000000-0005-0000-0000-0000E0650000}"/>
    <cellStyle name="Output 9 5 7 2" xfId="26872" xr:uid="{00000000-0005-0000-0000-0000E1650000}"/>
    <cellStyle name="Output 9 5 8" xfId="9700" xr:uid="{00000000-0005-0000-0000-0000E2650000}"/>
    <cellStyle name="Output 9 5 8 2" xfId="20000" xr:uid="{00000000-0005-0000-0000-0000E3650000}"/>
    <cellStyle name="Output 9 6" xfId="1790" xr:uid="{00000000-0005-0000-0000-0000E4650000}"/>
    <cellStyle name="Output 9 6 2" xfId="3868" xr:uid="{00000000-0005-0000-0000-0000E5650000}"/>
    <cellStyle name="Output 9 6 2 2" xfId="7920" xr:uid="{00000000-0005-0000-0000-0000E6650000}"/>
    <cellStyle name="Output 9 6 2 2 2" xfId="17401" xr:uid="{00000000-0005-0000-0000-0000E7650000}"/>
    <cellStyle name="Output 9 6 2 2 2 2" xfId="32233" xr:uid="{00000000-0005-0000-0000-0000E8650000}"/>
    <cellStyle name="Output 9 6 2 2 3" xfId="19180" xr:uid="{00000000-0005-0000-0000-0000E9650000}"/>
    <cellStyle name="Output 9 6 2 3" xfId="14203" xr:uid="{00000000-0005-0000-0000-0000EA650000}"/>
    <cellStyle name="Output 9 6 2 3 2" xfId="29035" xr:uid="{00000000-0005-0000-0000-0000EB650000}"/>
    <cellStyle name="Output 9 6 2 4" xfId="11020" xr:uid="{00000000-0005-0000-0000-0000EC650000}"/>
    <cellStyle name="Output 9 6 2 4 2" xfId="25852" xr:uid="{00000000-0005-0000-0000-0000ED650000}"/>
    <cellStyle name="Output 9 6 3" xfId="4768" xr:uid="{00000000-0005-0000-0000-0000EE650000}"/>
    <cellStyle name="Output 9 6 3 2" xfId="8807" xr:uid="{00000000-0005-0000-0000-0000EF650000}"/>
    <cellStyle name="Output 9 6 3 2 2" xfId="17879" xr:uid="{00000000-0005-0000-0000-0000F0650000}"/>
    <cellStyle name="Output 9 6 3 2 2 2" xfId="32711" xr:uid="{00000000-0005-0000-0000-0000F1650000}"/>
    <cellStyle name="Output 9 6 3 2 3" xfId="19496" xr:uid="{00000000-0005-0000-0000-0000F2650000}"/>
    <cellStyle name="Output 9 6 3 3" xfId="15092" xr:uid="{00000000-0005-0000-0000-0000F3650000}"/>
    <cellStyle name="Output 9 6 3 3 2" xfId="29924" xr:uid="{00000000-0005-0000-0000-0000F4650000}"/>
    <cellStyle name="Output 9 6 3 4" xfId="11482" xr:uid="{00000000-0005-0000-0000-0000F5650000}"/>
    <cellStyle name="Output 9 6 3 4 2" xfId="26314" xr:uid="{00000000-0005-0000-0000-0000F6650000}"/>
    <cellStyle name="Output 9 6 4" xfId="2758" xr:uid="{00000000-0005-0000-0000-0000F7650000}"/>
    <cellStyle name="Output 9 6 4 2" xfId="6849" xr:uid="{00000000-0005-0000-0000-0000F8650000}"/>
    <cellStyle name="Output 9 6 4 2 2" xfId="16773" xr:uid="{00000000-0005-0000-0000-0000F9650000}"/>
    <cellStyle name="Output 9 6 4 2 2 2" xfId="31605" xr:uid="{00000000-0005-0000-0000-0000FA650000}"/>
    <cellStyle name="Output 9 6 4 2 3" xfId="18787" xr:uid="{00000000-0005-0000-0000-0000FB650000}"/>
    <cellStyle name="Output 9 6 4 3" xfId="13096" xr:uid="{00000000-0005-0000-0000-0000FC650000}"/>
    <cellStyle name="Output 9 6 4 3 2" xfId="27928" xr:uid="{00000000-0005-0000-0000-0000FD650000}"/>
    <cellStyle name="Output 9 6 4 4" xfId="10426" xr:uid="{00000000-0005-0000-0000-0000FE650000}"/>
    <cellStyle name="Output 9 6 4 4 2" xfId="25258" xr:uid="{00000000-0005-0000-0000-0000FF650000}"/>
    <cellStyle name="Output 9 6 5" xfId="5922" xr:uid="{00000000-0005-0000-0000-000000660000}"/>
    <cellStyle name="Output 9 6 5 2" xfId="16114" xr:uid="{00000000-0005-0000-0000-000001660000}"/>
    <cellStyle name="Output 9 6 5 2 2" xfId="30946" xr:uid="{00000000-0005-0000-0000-000002660000}"/>
    <cellStyle name="Output 9 6 5 3" xfId="18429" xr:uid="{00000000-0005-0000-0000-000003660000}"/>
    <cellStyle name="Output 9 6 6" xfId="12184" xr:uid="{00000000-0005-0000-0000-000004660000}"/>
    <cellStyle name="Output 9 6 6 2" xfId="27016" xr:uid="{00000000-0005-0000-0000-000005660000}"/>
    <cellStyle name="Output 9 6 7" xfId="9780" xr:uid="{00000000-0005-0000-0000-000006660000}"/>
    <cellStyle name="Output 9 6 7 2" xfId="24737" xr:uid="{00000000-0005-0000-0000-000007660000}"/>
    <cellStyle name="Output 9 7" xfId="2176" xr:uid="{00000000-0005-0000-0000-000008660000}"/>
    <cellStyle name="Output 9 7 2" xfId="3419" xr:uid="{00000000-0005-0000-0000-000009660000}"/>
    <cellStyle name="Output 9 7 2 2" xfId="7482" xr:uid="{00000000-0005-0000-0000-00000A660000}"/>
    <cellStyle name="Output 9 7 2 2 2" xfId="17180" xr:uid="{00000000-0005-0000-0000-00000B660000}"/>
    <cellStyle name="Output 9 7 2 2 2 2" xfId="32012" xr:uid="{00000000-0005-0000-0000-00000C660000}"/>
    <cellStyle name="Output 9 7 2 2 3" xfId="19029" xr:uid="{00000000-0005-0000-0000-00000D660000}"/>
    <cellStyle name="Output 9 7 2 3" xfId="13756" xr:uid="{00000000-0005-0000-0000-00000E660000}"/>
    <cellStyle name="Output 9 7 2 3 2" xfId="28588" xr:uid="{00000000-0005-0000-0000-00000F660000}"/>
    <cellStyle name="Output 9 7 2 4" xfId="10799" xr:uid="{00000000-0005-0000-0000-000010660000}"/>
    <cellStyle name="Output 9 7 2 4 2" xfId="25631" xr:uid="{00000000-0005-0000-0000-000011660000}"/>
    <cellStyle name="Output 9 7 3" xfId="5144" xr:uid="{00000000-0005-0000-0000-000012660000}"/>
    <cellStyle name="Output 9 7 3 2" xfId="9183" xr:uid="{00000000-0005-0000-0000-000013660000}"/>
    <cellStyle name="Output 9 7 3 2 2" xfId="18106" xr:uid="{00000000-0005-0000-0000-000014660000}"/>
    <cellStyle name="Output 9 7 3 2 2 2" xfId="32938" xr:uid="{00000000-0005-0000-0000-000015660000}"/>
    <cellStyle name="Output 9 7 3 2 3" xfId="19657" xr:uid="{00000000-0005-0000-0000-000016660000}"/>
    <cellStyle name="Output 9 7 3 3" xfId="15462" xr:uid="{00000000-0005-0000-0000-000017660000}"/>
    <cellStyle name="Output 9 7 3 3 2" xfId="30294" xr:uid="{00000000-0005-0000-0000-000018660000}"/>
    <cellStyle name="Output 9 7 3 4" xfId="11703" xr:uid="{00000000-0005-0000-0000-000019660000}"/>
    <cellStyle name="Output 9 7 3 4 2" xfId="26535" xr:uid="{00000000-0005-0000-0000-00001A660000}"/>
    <cellStyle name="Output 9 7 4" xfId="4174" xr:uid="{00000000-0005-0000-0000-00001B660000}"/>
    <cellStyle name="Output 9 7 4 2" xfId="8215" xr:uid="{00000000-0005-0000-0000-00001C660000}"/>
    <cellStyle name="Output 9 7 4 2 2" xfId="17562" xr:uid="{00000000-0005-0000-0000-00001D660000}"/>
    <cellStyle name="Output 9 7 4 2 2 2" xfId="32394" xr:uid="{00000000-0005-0000-0000-00001E660000}"/>
    <cellStyle name="Output 9 7 4 2 3" xfId="19300" xr:uid="{00000000-0005-0000-0000-00001F660000}"/>
    <cellStyle name="Output 9 7 4 3" xfId="14506" xr:uid="{00000000-0005-0000-0000-000020660000}"/>
    <cellStyle name="Output 9 7 4 3 2" xfId="29338" xr:uid="{00000000-0005-0000-0000-000021660000}"/>
    <cellStyle name="Output 9 7 4 4" xfId="11182" xr:uid="{00000000-0005-0000-0000-000022660000}"/>
    <cellStyle name="Output 9 7 4 4 2" xfId="26014" xr:uid="{00000000-0005-0000-0000-000023660000}"/>
    <cellStyle name="Output 9 7 5" xfId="6290" xr:uid="{00000000-0005-0000-0000-000024660000}"/>
    <cellStyle name="Output 9 7 5 2" xfId="16474" xr:uid="{00000000-0005-0000-0000-000025660000}"/>
    <cellStyle name="Output 9 7 5 2 2" xfId="31306" xr:uid="{00000000-0005-0000-0000-000026660000}"/>
    <cellStyle name="Output 9 7 5 3" xfId="18593" xr:uid="{00000000-0005-0000-0000-000027660000}"/>
    <cellStyle name="Output 9 7 6" xfId="12544" xr:uid="{00000000-0005-0000-0000-000028660000}"/>
    <cellStyle name="Output 9 7 6 2" xfId="27376" xr:uid="{00000000-0005-0000-0000-000029660000}"/>
    <cellStyle name="Output 9 7 7" xfId="10126" xr:uid="{00000000-0005-0000-0000-00002A660000}"/>
    <cellStyle name="Output 9 7 7 2" xfId="24958" xr:uid="{00000000-0005-0000-0000-00002B660000}"/>
    <cellStyle name="Output 9 8" xfId="4035" xr:uid="{00000000-0005-0000-0000-00002C660000}"/>
    <cellStyle name="Output 9 8 2" xfId="8082" xr:uid="{00000000-0005-0000-0000-00002D660000}"/>
    <cellStyle name="Output 9 8 2 2" xfId="17486" xr:uid="{00000000-0005-0000-0000-00002E660000}"/>
    <cellStyle name="Output 9 8 2 2 2" xfId="32318" xr:uid="{00000000-0005-0000-0000-00002F660000}"/>
    <cellStyle name="Output 9 8 2 3" xfId="19242" xr:uid="{00000000-0005-0000-0000-000030660000}"/>
    <cellStyle name="Output 9 8 3" xfId="14367" xr:uid="{00000000-0005-0000-0000-000031660000}"/>
    <cellStyle name="Output 9 8 3 2" xfId="29199" xr:uid="{00000000-0005-0000-0000-000032660000}"/>
    <cellStyle name="Output 9 8 4" xfId="11102" xr:uid="{00000000-0005-0000-0000-000033660000}"/>
    <cellStyle name="Output 9 8 4 2" xfId="25934" xr:uid="{00000000-0005-0000-0000-000034660000}"/>
    <cellStyle name="Output 9 9" xfId="4287" xr:uid="{00000000-0005-0000-0000-000035660000}"/>
    <cellStyle name="Output 9 9 2" xfId="8326" xr:uid="{00000000-0005-0000-0000-000036660000}"/>
    <cellStyle name="Output 9 9 2 2" xfId="17608" xr:uid="{00000000-0005-0000-0000-000037660000}"/>
    <cellStyle name="Output 9 9 2 2 2" xfId="32440" xr:uid="{00000000-0005-0000-0000-000038660000}"/>
    <cellStyle name="Output 9 9 2 3" xfId="19321" xr:uid="{00000000-0005-0000-0000-000039660000}"/>
    <cellStyle name="Output 9 9 3" xfId="14619" xr:uid="{00000000-0005-0000-0000-00003A660000}"/>
    <cellStyle name="Output 9 9 3 2" xfId="29451" xr:uid="{00000000-0005-0000-0000-00003B660000}"/>
    <cellStyle name="Output 9 9 4" xfId="11223" xr:uid="{00000000-0005-0000-0000-00003C660000}"/>
    <cellStyle name="Output 9 9 4 2" xfId="26055" xr:uid="{00000000-0005-0000-0000-00003D660000}"/>
    <cellStyle name="Pattern" xfId="1246" xr:uid="{00000000-0005-0000-0000-00003E660000}"/>
    <cellStyle name="Pattern 2" xfId="1302" xr:uid="{00000000-0005-0000-0000-00003F660000}"/>
    <cellStyle name="Pattern 2 10" xfId="1692" xr:uid="{00000000-0005-0000-0000-000040660000}"/>
    <cellStyle name="Pattern 2 10 2" xfId="5824" xr:uid="{00000000-0005-0000-0000-000041660000}"/>
    <cellStyle name="Pattern 2 10 2 2" xfId="22421" xr:uid="{00000000-0005-0000-0000-000042660000}"/>
    <cellStyle name="Pattern 2 10 3" xfId="12086" xr:uid="{00000000-0005-0000-0000-000043660000}"/>
    <cellStyle name="Pattern 2 10 3 2" xfId="26918" xr:uid="{00000000-0005-0000-0000-000044660000}"/>
    <cellStyle name="Pattern 2 11" xfId="5479" xr:uid="{00000000-0005-0000-0000-000045660000}"/>
    <cellStyle name="Pattern 2 11 2" xfId="15714" xr:uid="{00000000-0005-0000-0000-000046660000}"/>
    <cellStyle name="Pattern 2 11 2 2" xfId="30546" xr:uid="{00000000-0005-0000-0000-000047660000}"/>
    <cellStyle name="Pattern 2 11 3" xfId="22207" xr:uid="{00000000-0005-0000-0000-000048660000}"/>
    <cellStyle name="Pattern 2 2" xfId="1386" xr:uid="{00000000-0005-0000-0000-000049660000}"/>
    <cellStyle name="Pattern 2 2 2" xfId="1681" xr:uid="{00000000-0005-0000-0000-00004A660000}"/>
    <cellStyle name="Pattern 2 2 2 2" xfId="2264" xr:uid="{00000000-0005-0000-0000-00004B660000}"/>
    <cellStyle name="Pattern 2 2 2 2 2" xfId="4368" xr:uid="{00000000-0005-0000-0000-00004C660000}"/>
    <cellStyle name="Pattern 2 2 2 2 2 2" xfId="8407" xr:uid="{00000000-0005-0000-0000-00004D660000}"/>
    <cellStyle name="Pattern 2 2 2 2 2 2 2" xfId="24065" xr:uid="{00000000-0005-0000-0000-00004E660000}"/>
    <cellStyle name="Pattern 2 2 2 2 2 3" xfId="14697" xr:uid="{00000000-0005-0000-0000-00004F660000}"/>
    <cellStyle name="Pattern 2 2 2 2 2 3 2" xfId="29529" xr:uid="{00000000-0005-0000-0000-000050660000}"/>
    <cellStyle name="Pattern 2 2 2 2 3" xfId="5232" xr:uid="{00000000-0005-0000-0000-000051660000}"/>
    <cellStyle name="Pattern 2 2 2 2 3 2" xfId="9271" xr:uid="{00000000-0005-0000-0000-000052660000}"/>
    <cellStyle name="Pattern 2 2 2 2 3 2 2" xfId="24609" xr:uid="{00000000-0005-0000-0000-000053660000}"/>
    <cellStyle name="Pattern 2 2 2 2 3 3" xfId="15548" xr:uid="{00000000-0005-0000-0000-000054660000}"/>
    <cellStyle name="Pattern 2 2 2 2 3 3 2" xfId="30380" xr:uid="{00000000-0005-0000-0000-000055660000}"/>
    <cellStyle name="Pattern 2 2 2 2 4" xfId="4262" xr:uid="{00000000-0005-0000-0000-000056660000}"/>
    <cellStyle name="Pattern 2 2 2 2 4 2" xfId="8301" xr:uid="{00000000-0005-0000-0000-000057660000}"/>
    <cellStyle name="Pattern 2 2 2 2 4 2 2" xfId="23996" xr:uid="{00000000-0005-0000-0000-000058660000}"/>
    <cellStyle name="Pattern 2 2 2 2 4 3" xfId="14594" xr:uid="{00000000-0005-0000-0000-000059660000}"/>
    <cellStyle name="Pattern 2 2 2 2 4 3 2" xfId="29426" xr:uid="{00000000-0005-0000-0000-00005A660000}"/>
    <cellStyle name="Pattern 2 2 2 2 5" xfId="6376" xr:uid="{00000000-0005-0000-0000-00005B660000}"/>
    <cellStyle name="Pattern 2 2 2 2 5 2" xfId="22778" xr:uid="{00000000-0005-0000-0000-00005C660000}"/>
    <cellStyle name="Pattern 2 2 2 3" xfId="3970" xr:uid="{00000000-0005-0000-0000-00005D660000}"/>
    <cellStyle name="Pattern 2 2 2 3 2" xfId="8019" xr:uid="{00000000-0005-0000-0000-00005E660000}"/>
    <cellStyle name="Pattern 2 2 2 3 2 2" xfId="23812" xr:uid="{00000000-0005-0000-0000-00005F660000}"/>
    <cellStyle name="Pattern 2 2 2 3 3" xfId="14303" xr:uid="{00000000-0005-0000-0000-000060660000}"/>
    <cellStyle name="Pattern 2 2 2 3 3 2" xfId="29135" xr:uid="{00000000-0005-0000-0000-000061660000}"/>
    <cellStyle name="Pattern 2 2 2 4" xfId="3337" xr:uid="{00000000-0005-0000-0000-000062660000}"/>
    <cellStyle name="Pattern 2 2 2 4 2" xfId="7400" xr:uid="{00000000-0005-0000-0000-000063660000}"/>
    <cellStyle name="Pattern 2 2 2 4 2 2" xfId="23405" xr:uid="{00000000-0005-0000-0000-000064660000}"/>
    <cellStyle name="Pattern 2 2 2 4 3" xfId="13674" xr:uid="{00000000-0005-0000-0000-000065660000}"/>
    <cellStyle name="Pattern 2 2 2 4 3 2" xfId="28506" xr:uid="{00000000-0005-0000-0000-000066660000}"/>
    <cellStyle name="Pattern 2 2 2 5" xfId="4868" xr:uid="{00000000-0005-0000-0000-000067660000}"/>
    <cellStyle name="Pattern 2 2 2 5 2" xfId="8907" xr:uid="{00000000-0005-0000-0000-000068660000}"/>
    <cellStyle name="Pattern 2 2 2 5 2 2" xfId="24373" xr:uid="{00000000-0005-0000-0000-000069660000}"/>
    <cellStyle name="Pattern 2 2 2 5 3" xfId="15191" xr:uid="{00000000-0005-0000-0000-00006A660000}"/>
    <cellStyle name="Pattern 2 2 2 5 3 2" xfId="30023" xr:uid="{00000000-0005-0000-0000-00006B660000}"/>
    <cellStyle name="Pattern 2 2 2 6" xfId="2858" xr:uid="{00000000-0005-0000-0000-00006C660000}"/>
    <cellStyle name="Pattern 2 2 2 6 2" xfId="13196" xr:uid="{00000000-0005-0000-0000-00006D660000}"/>
    <cellStyle name="Pattern 2 2 2 6 2 2" xfId="28028" xr:uid="{00000000-0005-0000-0000-00006E660000}"/>
    <cellStyle name="Pattern 2 2 2 6 3" xfId="20784" xr:uid="{00000000-0005-0000-0000-00006F660000}"/>
    <cellStyle name="Pattern 2 2 2 7" xfId="1890" xr:uid="{00000000-0005-0000-0000-000070660000}"/>
    <cellStyle name="Pattern 2 2 2 7 2" xfId="6021" xr:uid="{00000000-0005-0000-0000-000071660000}"/>
    <cellStyle name="Pattern 2 2 2 7 2 2" xfId="22554" xr:uid="{00000000-0005-0000-0000-000072660000}"/>
    <cellStyle name="Pattern 2 2 2 8" xfId="12076" xr:uid="{00000000-0005-0000-0000-000073660000}"/>
    <cellStyle name="Pattern 2 2 2 8 2" xfId="26908" xr:uid="{00000000-0005-0000-0000-000074660000}"/>
    <cellStyle name="Pattern 2 2 3" xfId="3669" xr:uid="{00000000-0005-0000-0000-000075660000}"/>
    <cellStyle name="Pattern 2 2 3 2" xfId="7727" xr:uid="{00000000-0005-0000-0000-000076660000}"/>
    <cellStyle name="Pattern 2 2 3 2 2" xfId="23623" xr:uid="{00000000-0005-0000-0000-000077660000}"/>
    <cellStyle name="Pattern 2 2 3 3" xfId="14004" xr:uid="{00000000-0005-0000-0000-000078660000}"/>
    <cellStyle name="Pattern 2 2 3 3 2" xfId="28836" xr:uid="{00000000-0005-0000-0000-000079660000}"/>
    <cellStyle name="Pattern 2 2 4" xfId="4448" xr:uid="{00000000-0005-0000-0000-00007A660000}"/>
    <cellStyle name="Pattern 2 2 4 2" xfId="8487" xr:uid="{00000000-0005-0000-0000-00007B660000}"/>
    <cellStyle name="Pattern 2 2 4 2 2" xfId="24113" xr:uid="{00000000-0005-0000-0000-00007C660000}"/>
    <cellStyle name="Pattern 2 2 4 3" xfId="14776" xr:uid="{00000000-0005-0000-0000-00007D660000}"/>
    <cellStyle name="Pattern 2 2 4 3 2" xfId="29608" xr:uid="{00000000-0005-0000-0000-00007E660000}"/>
    <cellStyle name="Pattern 2 2 5" xfId="2438" xr:uid="{00000000-0005-0000-0000-00007F660000}"/>
    <cellStyle name="Pattern 2 2 5 2" xfId="12777" xr:uid="{00000000-0005-0000-0000-000080660000}"/>
    <cellStyle name="Pattern 2 2 5 2 2" xfId="27609" xr:uid="{00000000-0005-0000-0000-000081660000}"/>
    <cellStyle name="Pattern 2 2 5 3" xfId="20530" xr:uid="{00000000-0005-0000-0000-000082660000}"/>
    <cellStyle name="Pattern 2 2 6" xfId="5562" xr:uid="{00000000-0005-0000-0000-000083660000}"/>
    <cellStyle name="Pattern 2 2 6 2" xfId="15797" xr:uid="{00000000-0005-0000-0000-000084660000}"/>
    <cellStyle name="Pattern 2 2 6 2 2" xfId="30629" xr:uid="{00000000-0005-0000-0000-000085660000}"/>
    <cellStyle name="Pattern 2 2 6 3" xfId="22258" xr:uid="{00000000-0005-0000-0000-000086660000}"/>
    <cellStyle name="Pattern 2 3" xfId="1558" xr:uid="{00000000-0005-0000-0000-000087660000}"/>
    <cellStyle name="Pattern 2 3 2" xfId="2055" xr:uid="{00000000-0005-0000-0000-000088660000}"/>
    <cellStyle name="Pattern 2 3 2 2" xfId="4078" xr:uid="{00000000-0005-0000-0000-000089660000}"/>
    <cellStyle name="Pattern 2 3 2 2 2" xfId="8124" xr:uid="{00000000-0005-0000-0000-00008A660000}"/>
    <cellStyle name="Pattern 2 3 2 2 2 2" xfId="23875" xr:uid="{00000000-0005-0000-0000-00008B660000}"/>
    <cellStyle name="Pattern 2 3 2 2 3" xfId="14410" xr:uid="{00000000-0005-0000-0000-00008C660000}"/>
    <cellStyle name="Pattern 2 3 2 2 3 2" xfId="29242" xr:uid="{00000000-0005-0000-0000-00008D660000}"/>
    <cellStyle name="Pattern 2 3 2 3" xfId="3396" xr:uid="{00000000-0005-0000-0000-00008E660000}"/>
    <cellStyle name="Pattern 2 3 2 3 2" xfId="7459" xr:uid="{00000000-0005-0000-0000-00008F660000}"/>
    <cellStyle name="Pattern 2 3 2 3 2 2" xfId="23448" xr:uid="{00000000-0005-0000-0000-000090660000}"/>
    <cellStyle name="Pattern 2 3 2 3 3" xfId="13733" xr:uid="{00000000-0005-0000-0000-000091660000}"/>
    <cellStyle name="Pattern 2 3 2 3 3 2" xfId="28565" xr:uid="{00000000-0005-0000-0000-000092660000}"/>
    <cellStyle name="Pattern 2 3 2 4" xfId="5023" xr:uid="{00000000-0005-0000-0000-000093660000}"/>
    <cellStyle name="Pattern 2 3 2 4 2" xfId="9062" xr:uid="{00000000-0005-0000-0000-000094660000}"/>
    <cellStyle name="Pattern 2 3 2 4 2 2" xfId="24496" xr:uid="{00000000-0005-0000-0000-000095660000}"/>
    <cellStyle name="Pattern 2 3 2 4 3" xfId="15344" xr:uid="{00000000-0005-0000-0000-000096660000}"/>
    <cellStyle name="Pattern 2 3 2 4 3 2" xfId="30176" xr:uid="{00000000-0005-0000-0000-000097660000}"/>
    <cellStyle name="Pattern 2 3 2 5" xfId="3013" xr:uid="{00000000-0005-0000-0000-000098660000}"/>
    <cellStyle name="Pattern 2 3 2 5 2" xfId="13351" xr:uid="{00000000-0005-0000-0000-000099660000}"/>
    <cellStyle name="Pattern 2 3 2 5 2 2" xfId="28183" xr:uid="{00000000-0005-0000-0000-00009A660000}"/>
    <cellStyle name="Pattern 2 3 2 5 3" xfId="20907" xr:uid="{00000000-0005-0000-0000-00009B660000}"/>
    <cellStyle name="Pattern 2 3 3" xfId="3780" xr:uid="{00000000-0005-0000-0000-00009C660000}"/>
    <cellStyle name="Pattern 2 3 3 2" xfId="7835" xr:uid="{00000000-0005-0000-0000-00009D660000}"/>
    <cellStyle name="Pattern 2 3 3 2 2" xfId="23691" xr:uid="{00000000-0005-0000-0000-00009E660000}"/>
    <cellStyle name="Pattern 2 3 3 3" xfId="14115" xr:uid="{00000000-0005-0000-0000-00009F660000}"/>
    <cellStyle name="Pattern 2 3 3 3 2" xfId="28947" xr:uid="{00000000-0005-0000-0000-0000A0660000}"/>
    <cellStyle name="Pattern 2 3 4" xfId="4603" xr:uid="{00000000-0005-0000-0000-0000A1660000}"/>
    <cellStyle name="Pattern 2 3 4 2" xfId="8642" xr:uid="{00000000-0005-0000-0000-0000A2660000}"/>
    <cellStyle name="Pattern 2 3 4 2 2" xfId="24236" xr:uid="{00000000-0005-0000-0000-0000A3660000}"/>
    <cellStyle name="Pattern 2 3 4 3" xfId="14929" xr:uid="{00000000-0005-0000-0000-0000A4660000}"/>
    <cellStyle name="Pattern 2 3 4 3 2" xfId="29761" xr:uid="{00000000-0005-0000-0000-0000A5660000}"/>
    <cellStyle name="Pattern 2 3 5" xfId="2593" xr:uid="{00000000-0005-0000-0000-0000A6660000}"/>
    <cellStyle name="Pattern 2 3 5 2" xfId="12931" xr:uid="{00000000-0005-0000-0000-0000A7660000}"/>
    <cellStyle name="Pattern 2 3 5 2 2" xfId="27763" xr:uid="{00000000-0005-0000-0000-0000A8660000}"/>
    <cellStyle name="Pattern 2 3 5 3" xfId="20647" xr:uid="{00000000-0005-0000-0000-0000A9660000}"/>
    <cellStyle name="Pattern 2 3 6" xfId="1703" xr:uid="{00000000-0005-0000-0000-0000AA660000}"/>
    <cellStyle name="Pattern 2 3 6 2" xfId="5835" xr:uid="{00000000-0005-0000-0000-0000AB660000}"/>
    <cellStyle name="Pattern 2 3 6 2 2" xfId="22432" xr:uid="{00000000-0005-0000-0000-0000AC660000}"/>
    <cellStyle name="Pattern 2 3 6 3" xfId="12097" xr:uid="{00000000-0005-0000-0000-0000AD660000}"/>
    <cellStyle name="Pattern 2 3 6 3 2" xfId="26929" xr:uid="{00000000-0005-0000-0000-0000AE660000}"/>
    <cellStyle name="Pattern 2 4" xfId="1611" xr:uid="{00000000-0005-0000-0000-0000AF660000}"/>
    <cellStyle name="Pattern 2 4 2" xfId="2108" xr:uid="{00000000-0005-0000-0000-0000B0660000}"/>
    <cellStyle name="Pattern 2 4 2 2" xfId="4118" xr:uid="{00000000-0005-0000-0000-0000B1660000}"/>
    <cellStyle name="Pattern 2 4 2 2 2" xfId="8163" xr:uid="{00000000-0005-0000-0000-0000B2660000}"/>
    <cellStyle name="Pattern 2 4 2 2 2 2" xfId="23901" xr:uid="{00000000-0005-0000-0000-0000B3660000}"/>
    <cellStyle name="Pattern 2 4 2 2 3" xfId="14450" xr:uid="{00000000-0005-0000-0000-0000B4660000}"/>
    <cellStyle name="Pattern 2 4 2 2 3 2" xfId="29282" xr:uid="{00000000-0005-0000-0000-0000B5660000}"/>
    <cellStyle name="Pattern 2 4 2 3" xfId="3533" xr:uid="{00000000-0005-0000-0000-0000B6660000}"/>
    <cellStyle name="Pattern 2 4 2 3 2" xfId="7595" xr:uid="{00000000-0005-0000-0000-0000B7660000}"/>
    <cellStyle name="Pattern 2 4 2 3 2 2" xfId="23538" xr:uid="{00000000-0005-0000-0000-0000B8660000}"/>
    <cellStyle name="Pattern 2 4 2 3 3" xfId="13870" xr:uid="{00000000-0005-0000-0000-0000B9660000}"/>
    <cellStyle name="Pattern 2 4 2 3 3 2" xfId="28702" xr:uid="{00000000-0005-0000-0000-0000BA660000}"/>
    <cellStyle name="Pattern 2 4 2 4" xfId="5076" xr:uid="{00000000-0005-0000-0000-0000BB660000}"/>
    <cellStyle name="Pattern 2 4 2 4 2" xfId="9115" xr:uid="{00000000-0005-0000-0000-0000BC660000}"/>
    <cellStyle name="Pattern 2 4 2 4 2 2" xfId="24517" xr:uid="{00000000-0005-0000-0000-0000BD660000}"/>
    <cellStyle name="Pattern 2 4 2 4 3" xfId="15396" xr:uid="{00000000-0005-0000-0000-0000BE660000}"/>
    <cellStyle name="Pattern 2 4 2 4 3 2" xfId="30228" xr:uid="{00000000-0005-0000-0000-0000BF660000}"/>
    <cellStyle name="Pattern 2 4 2 5" xfId="3066" xr:uid="{00000000-0005-0000-0000-0000C0660000}"/>
    <cellStyle name="Pattern 2 4 2 5 2" xfId="13404" xr:uid="{00000000-0005-0000-0000-0000C1660000}"/>
    <cellStyle name="Pattern 2 4 2 5 2 2" xfId="28236" xr:uid="{00000000-0005-0000-0000-0000C2660000}"/>
    <cellStyle name="Pattern 2 4 2 5 3" xfId="20928" xr:uid="{00000000-0005-0000-0000-0000C3660000}"/>
    <cellStyle name="Pattern 2 4 3" xfId="3818" xr:uid="{00000000-0005-0000-0000-0000C4660000}"/>
    <cellStyle name="Pattern 2 4 3 2" xfId="7871" xr:uid="{00000000-0005-0000-0000-0000C5660000}"/>
    <cellStyle name="Pattern 2 4 3 2 2" xfId="23718" xr:uid="{00000000-0005-0000-0000-0000C6660000}"/>
    <cellStyle name="Pattern 2 4 3 3" xfId="14153" xr:uid="{00000000-0005-0000-0000-0000C7660000}"/>
    <cellStyle name="Pattern 2 4 3 3 2" xfId="28985" xr:uid="{00000000-0005-0000-0000-0000C8660000}"/>
    <cellStyle name="Pattern 2 4 4" xfId="4656" xr:uid="{00000000-0005-0000-0000-0000C9660000}"/>
    <cellStyle name="Pattern 2 4 4 2" xfId="8695" xr:uid="{00000000-0005-0000-0000-0000CA660000}"/>
    <cellStyle name="Pattern 2 4 4 2 2" xfId="24257" xr:uid="{00000000-0005-0000-0000-0000CB660000}"/>
    <cellStyle name="Pattern 2 4 4 3" xfId="14981" xr:uid="{00000000-0005-0000-0000-0000CC660000}"/>
    <cellStyle name="Pattern 2 4 4 3 2" xfId="29813" xr:uid="{00000000-0005-0000-0000-0000CD660000}"/>
    <cellStyle name="Pattern 2 4 5" xfId="2646" xr:uid="{00000000-0005-0000-0000-0000CE660000}"/>
    <cellStyle name="Pattern 2 4 5 2" xfId="12984" xr:uid="{00000000-0005-0000-0000-0000CF660000}"/>
    <cellStyle name="Pattern 2 4 5 2 2" xfId="27816" xr:uid="{00000000-0005-0000-0000-0000D0660000}"/>
    <cellStyle name="Pattern 2 4 5 3" xfId="20668" xr:uid="{00000000-0005-0000-0000-0000D1660000}"/>
    <cellStyle name="Pattern 2 4 6" xfId="1708" xr:uid="{00000000-0005-0000-0000-0000D2660000}"/>
    <cellStyle name="Pattern 2 4 6 2" xfId="5840" xr:uid="{00000000-0005-0000-0000-0000D3660000}"/>
    <cellStyle name="Pattern 2 4 6 2 2" xfId="22437" xr:uid="{00000000-0005-0000-0000-0000D4660000}"/>
    <cellStyle name="Pattern 2 4 6 3" xfId="12102" xr:uid="{00000000-0005-0000-0000-0000D5660000}"/>
    <cellStyle name="Pattern 2 4 6 3 2" xfId="26934" xr:uid="{00000000-0005-0000-0000-0000D6660000}"/>
    <cellStyle name="Pattern 2 5" xfId="1661" xr:uid="{00000000-0005-0000-0000-0000D7660000}"/>
    <cellStyle name="Pattern 2 5 2" xfId="2158" xr:uid="{00000000-0005-0000-0000-0000D8660000}"/>
    <cellStyle name="Pattern 2 5 2 2" xfId="4156" xr:uid="{00000000-0005-0000-0000-0000D9660000}"/>
    <cellStyle name="Pattern 2 5 2 2 2" xfId="8198" xr:uid="{00000000-0005-0000-0000-0000DA660000}"/>
    <cellStyle name="Pattern 2 5 2 2 2 2" xfId="23925" xr:uid="{00000000-0005-0000-0000-0000DB660000}"/>
    <cellStyle name="Pattern 2 5 2 2 3" xfId="14488" xr:uid="{00000000-0005-0000-0000-0000DC660000}"/>
    <cellStyle name="Pattern 2 5 2 2 3 2" xfId="29320" xr:uid="{00000000-0005-0000-0000-0000DD660000}"/>
    <cellStyle name="Pattern 2 5 2 3" xfId="3171" xr:uid="{00000000-0005-0000-0000-0000DE660000}"/>
    <cellStyle name="Pattern 2 5 2 3 2" xfId="7235" xr:uid="{00000000-0005-0000-0000-0000DF660000}"/>
    <cellStyle name="Pattern 2 5 2 3 2 2" xfId="23295" xr:uid="{00000000-0005-0000-0000-0000E0660000}"/>
    <cellStyle name="Pattern 2 5 2 3 3" xfId="13509" xr:uid="{00000000-0005-0000-0000-0000E1660000}"/>
    <cellStyle name="Pattern 2 5 2 3 3 2" xfId="28341" xr:uid="{00000000-0005-0000-0000-0000E2660000}"/>
    <cellStyle name="Pattern 2 5 2 4" xfId="5126" xr:uid="{00000000-0005-0000-0000-0000E3660000}"/>
    <cellStyle name="Pattern 2 5 2 4 2" xfId="9165" xr:uid="{00000000-0005-0000-0000-0000E4660000}"/>
    <cellStyle name="Pattern 2 5 2 4 2 2" xfId="24535" xr:uid="{00000000-0005-0000-0000-0000E5660000}"/>
    <cellStyle name="Pattern 2 5 2 4 3" xfId="15445" xr:uid="{00000000-0005-0000-0000-0000E6660000}"/>
    <cellStyle name="Pattern 2 5 2 4 3 2" xfId="30277" xr:uid="{00000000-0005-0000-0000-0000E7660000}"/>
    <cellStyle name="Pattern 2 5 2 5" xfId="3116" xr:uid="{00000000-0005-0000-0000-0000E8660000}"/>
    <cellStyle name="Pattern 2 5 2 5 2" xfId="13454" xr:uid="{00000000-0005-0000-0000-0000E9660000}"/>
    <cellStyle name="Pattern 2 5 2 5 2 2" xfId="28286" xr:uid="{00000000-0005-0000-0000-0000EA660000}"/>
    <cellStyle name="Pattern 2 5 2 5 3" xfId="20946" xr:uid="{00000000-0005-0000-0000-0000EB660000}"/>
    <cellStyle name="Pattern 2 5 3" xfId="3856" xr:uid="{00000000-0005-0000-0000-0000EC660000}"/>
    <cellStyle name="Pattern 2 5 3 2" xfId="7908" xr:uid="{00000000-0005-0000-0000-0000ED660000}"/>
    <cellStyle name="Pattern 2 5 3 2 2" xfId="23744" xr:uid="{00000000-0005-0000-0000-0000EE660000}"/>
    <cellStyle name="Pattern 2 5 3 3" xfId="14191" xr:uid="{00000000-0005-0000-0000-0000EF660000}"/>
    <cellStyle name="Pattern 2 5 3 3 2" xfId="29023" xr:uid="{00000000-0005-0000-0000-0000F0660000}"/>
    <cellStyle name="Pattern 2 5 4" xfId="4706" xr:uid="{00000000-0005-0000-0000-0000F1660000}"/>
    <cellStyle name="Pattern 2 5 4 2" xfId="8745" xr:uid="{00000000-0005-0000-0000-0000F2660000}"/>
    <cellStyle name="Pattern 2 5 4 2 2" xfId="24275" xr:uid="{00000000-0005-0000-0000-0000F3660000}"/>
    <cellStyle name="Pattern 2 5 4 3" xfId="15030" xr:uid="{00000000-0005-0000-0000-0000F4660000}"/>
    <cellStyle name="Pattern 2 5 4 3 2" xfId="29862" xr:uid="{00000000-0005-0000-0000-0000F5660000}"/>
    <cellStyle name="Pattern 2 5 5" xfId="2696" xr:uid="{00000000-0005-0000-0000-0000F6660000}"/>
    <cellStyle name="Pattern 2 5 5 2" xfId="13034" xr:uid="{00000000-0005-0000-0000-0000F7660000}"/>
    <cellStyle name="Pattern 2 5 5 2 2" xfId="27866" xr:uid="{00000000-0005-0000-0000-0000F8660000}"/>
    <cellStyle name="Pattern 2 5 5 3" xfId="20686" xr:uid="{00000000-0005-0000-0000-0000F9660000}"/>
    <cellStyle name="Pattern 2 5 6" xfId="1713" xr:uid="{00000000-0005-0000-0000-0000FA660000}"/>
    <cellStyle name="Pattern 2 5 6 2" xfId="5845" xr:uid="{00000000-0005-0000-0000-0000FB660000}"/>
    <cellStyle name="Pattern 2 5 6 2 2" xfId="22442" xr:uid="{00000000-0005-0000-0000-0000FC660000}"/>
    <cellStyle name="Pattern 2 5 6 3" xfId="12107" xr:uid="{00000000-0005-0000-0000-0000FD660000}"/>
    <cellStyle name="Pattern 2 5 6 3 2" xfId="26939" xr:uid="{00000000-0005-0000-0000-0000FE660000}"/>
    <cellStyle name="Pattern 2 6" xfId="1671" xr:uid="{00000000-0005-0000-0000-0000FF660000}"/>
    <cellStyle name="Pattern 2 6 2" xfId="4358" xr:uid="{00000000-0005-0000-0000-000000670000}"/>
    <cellStyle name="Pattern 2 6 2 2" xfId="8397" xr:uid="{00000000-0005-0000-0000-000001670000}"/>
    <cellStyle name="Pattern 2 6 2 2 2" xfId="24055" xr:uid="{00000000-0005-0000-0000-000002670000}"/>
    <cellStyle name="Pattern 2 6 2 3" xfId="14687" xr:uid="{00000000-0005-0000-0000-000003670000}"/>
    <cellStyle name="Pattern 2 6 2 3 2" xfId="29519" xr:uid="{00000000-0005-0000-0000-000004670000}"/>
    <cellStyle name="Pattern 2 6 3" xfId="5222" xr:uid="{00000000-0005-0000-0000-000005670000}"/>
    <cellStyle name="Pattern 2 6 3 2" xfId="9261" xr:uid="{00000000-0005-0000-0000-000006670000}"/>
    <cellStyle name="Pattern 2 6 3 2 2" xfId="24599" xr:uid="{00000000-0005-0000-0000-000007670000}"/>
    <cellStyle name="Pattern 2 6 3 3" xfId="15538" xr:uid="{00000000-0005-0000-0000-000008670000}"/>
    <cellStyle name="Pattern 2 6 3 3 2" xfId="30370" xr:uid="{00000000-0005-0000-0000-000009670000}"/>
    <cellStyle name="Pattern 2 6 4" xfId="4252" xr:uid="{00000000-0005-0000-0000-00000A670000}"/>
    <cellStyle name="Pattern 2 6 4 2" xfId="8291" xr:uid="{00000000-0005-0000-0000-00000B670000}"/>
    <cellStyle name="Pattern 2 6 4 2 2" xfId="23986" xr:uid="{00000000-0005-0000-0000-00000C670000}"/>
    <cellStyle name="Pattern 2 6 4 3" xfId="14584" xr:uid="{00000000-0005-0000-0000-00000D670000}"/>
    <cellStyle name="Pattern 2 6 4 3 2" xfId="29416" xr:uid="{00000000-0005-0000-0000-00000E670000}"/>
    <cellStyle name="Pattern 2 6 5" xfId="2254" xr:uid="{00000000-0005-0000-0000-00000F670000}"/>
    <cellStyle name="Pattern 2 6 5 2" xfId="6366" xr:uid="{00000000-0005-0000-0000-000010670000}"/>
    <cellStyle name="Pattern 2 6 5 2 2" xfId="22768" xr:uid="{00000000-0005-0000-0000-000011670000}"/>
    <cellStyle name="Pattern 2 6 6" xfId="5813" xr:uid="{00000000-0005-0000-0000-000012670000}"/>
    <cellStyle name="Pattern 2 6 6 2" xfId="22411" xr:uid="{00000000-0005-0000-0000-000013670000}"/>
    <cellStyle name="Pattern 2 6 7" xfId="12066" xr:uid="{00000000-0005-0000-0000-000014670000}"/>
    <cellStyle name="Pattern 2 6 7 2" xfId="26898" xr:uid="{00000000-0005-0000-0000-000015670000}"/>
    <cellStyle name="Pattern 2 7" xfId="3618" xr:uid="{00000000-0005-0000-0000-000016670000}"/>
    <cellStyle name="Pattern 2 7 2" xfId="7678" xr:uid="{00000000-0005-0000-0000-000017670000}"/>
    <cellStyle name="Pattern 2 7 2 2" xfId="23588" xr:uid="{00000000-0005-0000-0000-000018670000}"/>
    <cellStyle name="Pattern 2 7 3" xfId="13953" xr:uid="{00000000-0005-0000-0000-000019670000}"/>
    <cellStyle name="Pattern 2 7 3 2" xfId="28785" xr:uid="{00000000-0005-0000-0000-00001A670000}"/>
    <cellStyle name="Pattern 2 8" xfId="3364" xr:uid="{00000000-0005-0000-0000-00001B670000}"/>
    <cellStyle name="Pattern 2 8 2" xfId="7427" xr:uid="{00000000-0005-0000-0000-00001C670000}"/>
    <cellStyle name="Pattern 2 8 2 2" xfId="23428" xr:uid="{00000000-0005-0000-0000-00001D670000}"/>
    <cellStyle name="Pattern 2 8 3" xfId="13701" xr:uid="{00000000-0005-0000-0000-00001E670000}"/>
    <cellStyle name="Pattern 2 8 3 2" xfId="28533" xr:uid="{00000000-0005-0000-0000-00001F670000}"/>
    <cellStyle name="Pattern 2 9" xfId="2354" xr:uid="{00000000-0005-0000-0000-000020670000}"/>
    <cellStyle name="Pattern 2 9 2" xfId="6466" xr:uid="{00000000-0005-0000-0000-000021670000}"/>
    <cellStyle name="Pattern 2 9 2 2" xfId="22836" xr:uid="{00000000-0005-0000-0000-000022670000}"/>
    <cellStyle name="Pattern 2 9 3" xfId="12693" xr:uid="{00000000-0005-0000-0000-000023670000}"/>
    <cellStyle name="Pattern 2 9 3 2" xfId="27525" xr:uid="{00000000-0005-0000-0000-000024670000}"/>
    <cellStyle name="Pattern 3" xfId="1501" xr:uid="{00000000-0005-0000-0000-000025670000}"/>
    <cellStyle name="Pattern 3 2" xfId="1676" xr:uid="{00000000-0005-0000-0000-000026670000}"/>
    <cellStyle name="Pattern 3 2 2" xfId="2259" xr:uid="{00000000-0005-0000-0000-000027670000}"/>
    <cellStyle name="Pattern 3 2 2 2" xfId="4363" xr:uid="{00000000-0005-0000-0000-000028670000}"/>
    <cellStyle name="Pattern 3 2 2 2 2" xfId="8402" xr:uid="{00000000-0005-0000-0000-000029670000}"/>
    <cellStyle name="Pattern 3 2 2 2 2 2" xfId="24060" xr:uid="{00000000-0005-0000-0000-00002A670000}"/>
    <cellStyle name="Pattern 3 2 2 2 3" xfId="14692" xr:uid="{00000000-0005-0000-0000-00002B670000}"/>
    <cellStyle name="Pattern 3 2 2 2 3 2" xfId="29524" xr:uid="{00000000-0005-0000-0000-00002C670000}"/>
    <cellStyle name="Pattern 3 2 2 3" xfId="5227" xr:uid="{00000000-0005-0000-0000-00002D670000}"/>
    <cellStyle name="Pattern 3 2 2 3 2" xfId="9266" xr:uid="{00000000-0005-0000-0000-00002E670000}"/>
    <cellStyle name="Pattern 3 2 2 3 2 2" xfId="24604" xr:uid="{00000000-0005-0000-0000-00002F670000}"/>
    <cellStyle name="Pattern 3 2 2 3 3" xfId="15543" xr:uid="{00000000-0005-0000-0000-000030670000}"/>
    <cellStyle name="Pattern 3 2 2 3 3 2" xfId="30375" xr:uid="{00000000-0005-0000-0000-000031670000}"/>
    <cellStyle name="Pattern 3 2 2 4" xfId="4257" xr:uid="{00000000-0005-0000-0000-000032670000}"/>
    <cellStyle name="Pattern 3 2 2 4 2" xfId="8296" xr:uid="{00000000-0005-0000-0000-000033670000}"/>
    <cellStyle name="Pattern 3 2 2 4 2 2" xfId="23991" xr:uid="{00000000-0005-0000-0000-000034670000}"/>
    <cellStyle name="Pattern 3 2 2 4 3" xfId="14589" xr:uid="{00000000-0005-0000-0000-000035670000}"/>
    <cellStyle name="Pattern 3 2 2 4 3 2" xfId="29421" xr:uid="{00000000-0005-0000-0000-000036670000}"/>
    <cellStyle name="Pattern 3 2 2 5" xfId="6371" xr:uid="{00000000-0005-0000-0000-000037670000}"/>
    <cellStyle name="Pattern 3 2 2 5 2" xfId="22773" xr:uid="{00000000-0005-0000-0000-000038670000}"/>
    <cellStyle name="Pattern 3 2 3" xfId="4033" xr:uid="{00000000-0005-0000-0000-000039670000}"/>
    <cellStyle name="Pattern 3 2 3 2" xfId="8080" xr:uid="{00000000-0005-0000-0000-00003A670000}"/>
    <cellStyle name="Pattern 3 2 3 2 2" xfId="23849" xr:uid="{00000000-0005-0000-0000-00003B670000}"/>
    <cellStyle name="Pattern 3 2 3 3" xfId="14365" xr:uid="{00000000-0005-0000-0000-00003C670000}"/>
    <cellStyle name="Pattern 3 2 3 3 2" xfId="29197" xr:uid="{00000000-0005-0000-0000-00003D670000}"/>
    <cellStyle name="Pattern 3 2 4" xfId="3123" xr:uid="{00000000-0005-0000-0000-00003E670000}"/>
    <cellStyle name="Pattern 3 2 4 2" xfId="13461" xr:uid="{00000000-0005-0000-0000-00003F670000}"/>
    <cellStyle name="Pattern 3 2 4 2 2" xfId="28293" xr:uid="{00000000-0005-0000-0000-000040670000}"/>
    <cellStyle name="Pattern 3 2 4 3" xfId="20951" xr:uid="{00000000-0005-0000-0000-000041670000}"/>
    <cellStyle name="Pattern 3 2 5" xfId="4966" xr:uid="{00000000-0005-0000-0000-000042670000}"/>
    <cellStyle name="Pattern 3 2 5 2" xfId="9005" xr:uid="{00000000-0005-0000-0000-000043670000}"/>
    <cellStyle name="Pattern 3 2 5 2 2" xfId="24471" xr:uid="{00000000-0005-0000-0000-000044670000}"/>
    <cellStyle name="Pattern 3 2 5 3" xfId="15288" xr:uid="{00000000-0005-0000-0000-000045670000}"/>
    <cellStyle name="Pattern 3 2 5 3 2" xfId="30120" xr:uid="{00000000-0005-0000-0000-000046670000}"/>
    <cellStyle name="Pattern 3 2 6" xfId="2956" xr:uid="{00000000-0005-0000-0000-000047670000}"/>
    <cellStyle name="Pattern 3 2 6 2" xfId="13294" xr:uid="{00000000-0005-0000-0000-000048670000}"/>
    <cellStyle name="Pattern 3 2 6 2 2" xfId="28126" xr:uid="{00000000-0005-0000-0000-000049670000}"/>
    <cellStyle name="Pattern 3 2 6 3" xfId="20882" xr:uid="{00000000-0005-0000-0000-00004A670000}"/>
    <cellStyle name="Pattern 3 2 7" xfId="12071" xr:uid="{00000000-0005-0000-0000-00004B670000}"/>
    <cellStyle name="Pattern 3 2 7 2" xfId="26903" xr:uid="{00000000-0005-0000-0000-00004C670000}"/>
    <cellStyle name="Pattern 3 3" xfId="2244" xr:uid="{00000000-0005-0000-0000-00004D670000}"/>
    <cellStyle name="Pattern 3 3 2" xfId="4348" xr:uid="{00000000-0005-0000-0000-00004E670000}"/>
    <cellStyle name="Pattern 3 3 2 2" xfId="8387" xr:uid="{00000000-0005-0000-0000-00004F670000}"/>
    <cellStyle name="Pattern 3 3 2 2 2" xfId="24045" xr:uid="{00000000-0005-0000-0000-000050670000}"/>
    <cellStyle name="Pattern 3 3 2 3" xfId="14677" xr:uid="{00000000-0005-0000-0000-000051670000}"/>
    <cellStyle name="Pattern 3 3 2 3 2" xfId="29509" xr:uid="{00000000-0005-0000-0000-000052670000}"/>
    <cellStyle name="Pattern 3 3 3" xfId="5212" xr:uid="{00000000-0005-0000-0000-000053670000}"/>
    <cellStyle name="Pattern 3 3 3 2" xfId="9251" xr:uid="{00000000-0005-0000-0000-000054670000}"/>
    <cellStyle name="Pattern 3 3 3 2 2" xfId="24589" xr:uid="{00000000-0005-0000-0000-000055670000}"/>
    <cellStyle name="Pattern 3 3 3 3" xfId="15528" xr:uid="{00000000-0005-0000-0000-000056670000}"/>
    <cellStyle name="Pattern 3 3 3 3 2" xfId="30360" xr:uid="{00000000-0005-0000-0000-000057670000}"/>
    <cellStyle name="Pattern 3 3 4" xfId="4242" xr:uid="{00000000-0005-0000-0000-000058670000}"/>
    <cellStyle name="Pattern 3 3 4 2" xfId="8281" xr:uid="{00000000-0005-0000-0000-000059670000}"/>
    <cellStyle name="Pattern 3 3 4 2 2" xfId="23976" xr:uid="{00000000-0005-0000-0000-00005A670000}"/>
    <cellStyle name="Pattern 3 3 4 3" xfId="14574" xr:uid="{00000000-0005-0000-0000-00005B670000}"/>
    <cellStyle name="Pattern 3 3 4 3 2" xfId="29406" xr:uid="{00000000-0005-0000-0000-00005C670000}"/>
    <cellStyle name="Pattern 3 3 5" xfId="6356" xr:uid="{00000000-0005-0000-0000-00005D670000}"/>
    <cellStyle name="Pattern 3 3 5 2" xfId="22758" xr:uid="{00000000-0005-0000-0000-00005E670000}"/>
    <cellStyle name="Pattern 3 4" xfId="3737" xr:uid="{00000000-0005-0000-0000-00005F670000}"/>
    <cellStyle name="Pattern 3 4 2" xfId="7793" xr:uid="{00000000-0005-0000-0000-000060670000}"/>
    <cellStyle name="Pattern 3 4 2 2" xfId="23667" xr:uid="{00000000-0005-0000-0000-000061670000}"/>
    <cellStyle name="Pattern 3 4 3" xfId="14072" xr:uid="{00000000-0005-0000-0000-000062670000}"/>
    <cellStyle name="Pattern 3 4 3 2" xfId="28904" xr:uid="{00000000-0005-0000-0000-000063670000}"/>
    <cellStyle name="Pattern 3 5" xfId="3923" xr:uid="{00000000-0005-0000-0000-000064670000}"/>
    <cellStyle name="Pattern 3 5 2" xfId="14256" xr:uid="{00000000-0005-0000-0000-000065670000}"/>
    <cellStyle name="Pattern 3 5 2 2" xfId="29088" xr:uid="{00000000-0005-0000-0000-000066670000}"/>
    <cellStyle name="Pattern 3 5 3" xfId="21422" xr:uid="{00000000-0005-0000-0000-000067670000}"/>
    <cellStyle name="Pattern 3 6" xfId="4546" xr:uid="{00000000-0005-0000-0000-000068670000}"/>
    <cellStyle name="Pattern 3 6 2" xfId="8585" xr:uid="{00000000-0005-0000-0000-000069670000}"/>
    <cellStyle name="Pattern 3 6 2 2" xfId="24211" xr:uid="{00000000-0005-0000-0000-00006A670000}"/>
    <cellStyle name="Pattern 3 6 3" xfId="14873" xr:uid="{00000000-0005-0000-0000-00006B670000}"/>
    <cellStyle name="Pattern 3 6 3 2" xfId="29705" xr:uid="{00000000-0005-0000-0000-00006C670000}"/>
    <cellStyle name="Pattern 3 7" xfId="2536" xr:uid="{00000000-0005-0000-0000-00006D670000}"/>
    <cellStyle name="Pattern 3 7 2" xfId="6642" xr:uid="{00000000-0005-0000-0000-00006E670000}"/>
    <cellStyle name="Pattern 3 7 2 2" xfId="22980" xr:uid="{00000000-0005-0000-0000-00006F670000}"/>
    <cellStyle name="Pattern 3 7 3" xfId="12874" xr:uid="{00000000-0005-0000-0000-000070670000}"/>
    <cellStyle name="Pattern 3 7 3 2" xfId="27706" xr:uid="{00000000-0005-0000-0000-000071670000}"/>
    <cellStyle name="Pattern 3 8" xfId="1698" xr:uid="{00000000-0005-0000-0000-000072670000}"/>
    <cellStyle name="Pattern 3 8 2" xfId="5830" xr:uid="{00000000-0005-0000-0000-000073670000}"/>
    <cellStyle name="Pattern 3 8 2 2" xfId="22427" xr:uid="{00000000-0005-0000-0000-000074670000}"/>
    <cellStyle name="Pattern 3 8 3" xfId="12092" xr:uid="{00000000-0005-0000-0000-000075670000}"/>
    <cellStyle name="Pattern 3 8 3 2" xfId="26924" xr:uid="{00000000-0005-0000-0000-000076670000}"/>
    <cellStyle name="Pattern 3 9" xfId="5659" xr:uid="{00000000-0005-0000-0000-000077670000}"/>
    <cellStyle name="Pattern 3 9 2" xfId="15894" xr:uid="{00000000-0005-0000-0000-000078670000}"/>
    <cellStyle name="Pattern 3 9 2 2" xfId="30726" xr:uid="{00000000-0005-0000-0000-000079670000}"/>
    <cellStyle name="Pattern 3 9 3" xfId="22355" xr:uid="{00000000-0005-0000-0000-00007A670000}"/>
    <cellStyle name="Pattern 4" xfId="1666" xr:uid="{00000000-0005-0000-0000-00007B670000}"/>
    <cellStyle name="Pattern 4 2" xfId="4353" xr:uid="{00000000-0005-0000-0000-00007C670000}"/>
    <cellStyle name="Pattern 4 2 2" xfId="8392" xr:uid="{00000000-0005-0000-0000-00007D670000}"/>
    <cellStyle name="Pattern 4 2 2 2" xfId="24050" xr:uid="{00000000-0005-0000-0000-00007E670000}"/>
    <cellStyle name="Pattern 4 2 3" xfId="14682" xr:uid="{00000000-0005-0000-0000-00007F670000}"/>
    <cellStyle name="Pattern 4 2 3 2" xfId="29514" xr:uid="{00000000-0005-0000-0000-000080670000}"/>
    <cellStyle name="Pattern 4 3" xfId="5217" xr:uid="{00000000-0005-0000-0000-000081670000}"/>
    <cellStyle name="Pattern 4 3 2" xfId="9256" xr:uid="{00000000-0005-0000-0000-000082670000}"/>
    <cellStyle name="Pattern 4 3 2 2" xfId="24594" xr:uid="{00000000-0005-0000-0000-000083670000}"/>
    <cellStyle name="Pattern 4 3 3" xfId="15533" xr:uid="{00000000-0005-0000-0000-000084670000}"/>
    <cellStyle name="Pattern 4 3 3 2" xfId="30365" xr:uid="{00000000-0005-0000-0000-000085670000}"/>
    <cellStyle name="Pattern 4 4" xfId="4247" xr:uid="{00000000-0005-0000-0000-000086670000}"/>
    <cellStyle name="Pattern 4 4 2" xfId="8286" xr:uid="{00000000-0005-0000-0000-000087670000}"/>
    <cellStyle name="Pattern 4 4 2 2" xfId="23981" xr:uid="{00000000-0005-0000-0000-000088670000}"/>
    <cellStyle name="Pattern 4 4 3" xfId="14579" xr:uid="{00000000-0005-0000-0000-000089670000}"/>
    <cellStyle name="Pattern 4 4 3 2" xfId="29411" xr:uid="{00000000-0005-0000-0000-00008A670000}"/>
    <cellStyle name="Pattern 4 5" xfId="2249" xr:uid="{00000000-0005-0000-0000-00008B670000}"/>
    <cellStyle name="Pattern 4 5 2" xfId="6361" xr:uid="{00000000-0005-0000-0000-00008C670000}"/>
    <cellStyle name="Pattern 4 5 2 2" xfId="22763" xr:uid="{00000000-0005-0000-0000-00008D670000}"/>
    <cellStyle name="Pattern 4 6" xfId="5808" xr:uid="{00000000-0005-0000-0000-00008E670000}"/>
    <cellStyle name="Pattern 4 6 2" xfId="22406" xr:uid="{00000000-0005-0000-0000-00008F670000}"/>
    <cellStyle name="Pattern 4 7" xfId="12061" xr:uid="{00000000-0005-0000-0000-000090670000}"/>
    <cellStyle name="Pattern 4 7 2" xfId="26893" xr:uid="{00000000-0005-0000-0000-000091670000}"/>
    <cellStyle name="Pattern 5" xfId="3575" xr:uid="{00000000-0005-0000-0000-000092670000}"/>
    <cellStyle name="Pattern 5 2" xfId="7637" xr:uid="{00000000-0005-0000-0000-000093670000}"/>
    <cellStyle name="Pattern 5 2 2" xfId="23560" xr:uid="{00000000-0005-0000-0000-000094670000}"/>
    <cellStyle name="Pattern 5 3" xfId="13911" xr:uid="{00000000-0005-0000-0000-000095670000}"/>
    <cellStyle name="Pattern 5 3 2" xfId="28743" xr:uid="{00000000-0005-0000-0000-000096670000}"/>
    <cellStyle name="Pattern 6" xfId="3350" xr:uid="{00000000-0005-0000-0000-000097670000}"/>
    <cellStyle name="Pattern 6 2" xfId="7413" xr:uid="{00000000-0005-0000-0000-000098670000}"/>
    <cellStyle name="Pattern 6 2 2" xfId="23416" xr:uid="{00000000-0005-0000-0000-000099670000}"/>
    <cellStyle name="Pattern 6 3" xfId="13687" xr:uid="{00000000-0005-0000-0000-00009A670000}"/>
    <cellStyle name="Pattern 6 3 2" xfId="28519" xr:uid="{00000000-0005-0000-0000-00009B670000}"/>
    <cellStyle name="Pattern 7" xfId="2332" xr:uid="{00000000-0005-0000-0000-00009C670000}"/>
    <cellStyle name="Pattern 7 2" xfId="6444" xr:uid="{00000000-0005-0000-0000-00009D670000}"/>
    <cellStyle name="Pattern 7 2 2" xfId="22830" xr:uid="{00000000-0005-0000-0000-00009E670000}"/>
    <cellStyle name="Pattern 7 3" xfId="12672" xr:uid="{00000000-0005-0000-0000-00009F670000}"/>
    <cellStyle name="Pattern 7 3 2" xfId="27504" xr:uid="{00000000-0005-0000-0000-0000A0670000}"/>
    <cellStyle name="Pattern 8" xfId="1687" xr:uid="{00000000-0005-0000-0000-0000A1670000}"/>
    <cellStyle name="Pattern 8 2" xfId="5819" xr:uid="{00000000-0005-0000-0000-0000A2670000}"/>
    <cellStyle name="Pattern 8 2 2" xfId="22416" xr:uid="{00000000-0005-0000-0000-0000A3670000}"/>
    <cellStyle name="Pattern 8 3" xfId="12081" xr:uid="{00000000-0005-0000-0000-0000A4670000}"/>
    <cellStyle name="Pattern 8 3 2" xfId="26913" xr:uid="{00000000-0005-0000-0000-0000A5670000}"/>
    <cellStyle name="Pattern 9" xfId="5474" xr:uid="{00000000-0005-0000-0000-0000A6670000}"/>
    <cellStyle name="Pattern 9 2" xfId="15709" xr:uid="{00000000-0005-0000-0000-0000A7670000}"/>
    <cellStyle name="Pattern 9 2 2" xfId="30541" xr:uid="{00000000-0005-0000-0000-0000A8670000}"/>
    <cellStyle name="Pattern 9 3" xfId="22202" xr:uid="{00000000-0005-0000-0000-0000A9670000}"/>
    <cellStyle name="Percent" xfId="1" builtinId="5"/>
    <cellStyle name="Percent 2" xfId="5" xr:uid="{00000000-0005-0000-0000-0000AB670000}"/>
    <cellStyle name="Percent 2 2" xfId="1248" xr:uid="{00000000-0005-0000-0000-0000AC670000}"/>
    <cellStyle name="Percent 2 3" xfId="1388" xr:uid="{00000000-0005-0000-0000-0000AD670000}"/>
    <cellStyle name="Percent 3" xfId="7" xr:uid="{00000000-0005-0000-0000-0000AE670000}"/>
    <cellStyle name="Percent 4" xfId="1247" xr:uid="{00000000-0005-0000-0000-0000AF670000}"/>
    <cellStyle name="Percent 5" xfId="33019" xr:uid="{00000000-0005-0000-0000-0000B0670000}"/>
    <cellStyle name="Plain" xfId="1249" xr:uid="{00000000-0005-0000-0000-0000B1670000}"/>
    <cellStyle name="Scientific" xfId="1250" xr:uid="{00000000-0005-0000-0000-0000B2670000}"/>
    <cellStyle name="Title 2" xfId="1252" xr:uid="{00000000-0005-0000-0000-0000B3670000}"/>
    <cellStyle name="Title 2 2" xfId="1253" xr:uid="{00000000-0005-0000-0000-0000B4670000}"/>
    <cellStyle name="Title 2 3" xfId="1254" xr:uid="{00000000-0005-0000-0000-0000B5670000}"/>
    <cellStyle name="Title 2 4" xfId="1255" xr:uid="{00000000-0005-0000-0000-0000B6670000}"/>
    <cellStyle name="Title 2 5" xfId="1256" xr:uid="{00000000-0005-0000-0000-0000B7670000}"/>
    <cellStyle name="Title 2 6" xfId="1257" xr:uid="{00000000-0005-0000-0000-0000B8670000}"/>
    <cellStyle name="Title 2 7" xfId="1258" xr:uid="{00000000-0005-0000-0000-0000B9670000}"/>
    <cellStyle name="Title 2 8" xfId="1259" xr:uid="{00000000-0005-0000-0000-0000BA670000}"/>
    <cellStyle name="Title 3" xfId="1260" xr:uid="{00000000-0005-0000-0000-0000BB670000}"/>
    <cellStyle name="Title 4" xfId="1261" xr:uid="{00000000-0005-0000-0000-0000BC670000}"/>
    <cellStyle name="Title 5" xfId="1262" xr:uid="{00000000-0005-0000-0000-0000BD670000}"/>
    <cellStyle name="Title 6" xfId="1263" xr:uid="{00000000-0005-0000-0000-0000BE670000}"/>
    <cellStyle name="Title 7" xfId="1264" xr:uid="{00000000-0005-0000-0000-0000BF670000}"/>
    <cellStyle name="Title 8" xfId="1265" xr:uid="{00000000-0005-0000-0000-0000C0670000}"/>
    <cellStyle name="Title 9" xfId="1251" xr:uid="{00000000-0005-0000-0000-0000C1670000}"/>
    <cellStyle name="Total 10" xfId="1266" xr:uid="{00000000-0005-0000-0000-0000C2670000}"/>
    <cellStyle name="Total 10 10" xfId="2333" xr:uid="{00000000-0005-0000-0000-0000C3670000}"/>
    <cellStyle name="Total 10 10 2" xfId="6445" xr:uid="{00000000-0005-0000-0000-0000C4670000}"/>
    <cellStyle name="Total 10 10 2 2" xfId="16537" xr:uid="{00000000-0005-0000-0000-0000C5670000}"/>
    <cellStyle name="Total 10 10 2 2 2" xfId="31369" xr:uid="{00000000-0005-0000-0000-0000C6670000}"/>
    <cellStyle name="Total 10 10 2 3" xfId="18625" xr:uid="{00000000-0005-0000-0000-0000C7670000}"/>
    <cellStyle name="Total 10 10 3" xfId="12673" xr:uid="{00000000-0005-0000-0000-0000C8670000}"/>
    <cellStyle name="Total 10 10 3 2" xfId="27505" xr:uid="{00000000-0005-0000-0000-0000C9670000}"/>
    <cellStyle name="Total 10 10 4" xfId="10188" xr:uid="{00000000-0005-0000-0000-0000CA670000}"/>
    <cellStyle name="Total 10 10 4 2" xfId="25020" xr:uid="{00000000-0005-0000-0000-0000CB670000}"/>
    <cellStyle name="Total 10 11" xfId="5295" xr:uid="{00000000-0005-0000-0000-0000CC670000}"/>
    <cellStyle name="Total 10 11 2" xfId="9303" xr:uid="{00000000-0005-0000-0000-0000CD670000}"/>
    <cellStyle name="Total 10 11 2 2" xfId="18170" xr:uid="{00000000-0005-0000-0000-0000CE670000}"/>
    <cellStyle name="Total 10 11 2 2 2" xfId="33002" xr:uid="{00000000-0005-0000-0000-0000CF670000}"/>
    <cellStyle name="Total 10 11 2 3" xfId="19689" xr:uid="{00000000-0005-0000-0000-0000D0670000}"/>
    <cellStyle name="Total 10 11 3" xfId="15611" xr:uid="{00000000-0005-0000-0000-0000D1670000}"/>
    <cellStyle name="Total 10 11 3 2" xfId="30443" xr:uid="{00000000-0005-0000-0000-0000D2670000}"/>
    <cellStyle name="Total 10 12" xfId="5453" xr:uid="{00000000-0005-0000-0000-0000D3670000}"/>
    <cellStyle name="Total 10 12 2" xfId="15689" xr:uid="{00000000-0005-0000-0000-0000D4670000}"/>
    <cellStyle name="Total 10 12 2 2" xfId="30521" xr:uid="{00000000-0005-0000-0000-0000D5670000}"/>
    <cellStyle name="Total 10 12 3" xfId="18266" xr:uid="{00000000-0005-0000-0000-0000D6670000}"/>
    <cellStyle name="Total 10 13" xfId="9338" xr:uid="{00000000-0005-0000-0000-0000D7670000}"/>
    <cellStyle name="Total 10 13 2" xfId="24644" xr:uid="{00000000-0005-0000-0000-0000D8670000}"/>
    <cellStyle name="Total 10 14" xfId="5327" xr:uid="{00000000-0005-0000-0000-0000D9670000}"/>
    <cellStyle name="Total 10 14 2" xfId="18201" xr:uid="{00000000-0005-0000-0000-0000DA670000}"/>
    <cellStyle name="Total 10 2" xfId="1365" xr:uid="{00000000-0005-0000-0000-0000DB670000}"/>
    <cellStyle name="Total 10 2 2" xfId="1869" xr:uid="{00000000-0005-0000-0000-0000DC670000}"/>
    <cellStyle name="Total 10 2 2 2" xfId="3673" xr:uid="{00000000-0005-0000-0000-0000DD670000}"/>
    <cellStyle name="Total 10 2 2 2 2" xfId="7731" xr:uid="{00000000-0005-0000-0000-0000DE670000}"/>
    <cellStyle name="Total 10 2 2 2 2 2" xfId="17309" xr:uid="{00000000-0005-0000-0000-0000DF670000}"/>
    <cellStyle name="Total 10 2 2 2 2 2 2" xfId="32141" xr:uid="{00000000-0005-0000-0000-0000E0670000}"/>
    <cellStyle name="Total 10 2 2 2 2 3" xfId="19117" xr:uid="{00000000-0005-0000-0000-0000E1670000}"/>
    <cellStyle name="Total 10 2 2 2 3" xfId="14008" xr:uid="{00000000-0005-0000-0000-0000E2670000}"/>
    <cellStyle name="Total 10 2 2 2 3 2" xfId="28840" xr:uid="{00000000-0005-0000-0000-0000E3670000}"/>
    <cellStyle name="Total 10 2 2 2 4" xfId="10926" xr:uid="{00000000-0005-0000-0000-0000E4670000}"/>
    <cellStyle name="Total 10 2 2 2 4 2" xfId="25758" xr:uid="{00000000-0005-0000-0000-0000E5670000}"/>
    <cellStyle name="Total 10 2 2 3" xfId="4847" xr:uid="{00000000-0005-0000-0000-0000E6670000}"/>
    <cellStyle name="Total 10 2 2 3 2" xfId="8886" xr:uid="{00000000-0005-0000-0000-0000E7670000}"/>
    <cellStyle name="Total 10 2 2 3 2 2" xfId="17927" xr:uid="{00000000-0005-0000-0000-0000E8670000}"/>
    <cellStyle name="Total 10 2 2 3 2 2 2" xfId="32759" xr:uid="{00000000-0005-0000-0000-0000E9670000}"/>
    <cellStyle name="Total 10 2 2 3 2 3" xfId="19529" xr:uid="{00000000-0005-0000-0000-0000EA670000}"/>
    <cellStyle name="Total 10 2 2 3 3" xfId="15171" xr:uid="{00000000-0005-0000-0000-0000EB670000}"/>
    <cellStyle name="Total 10 2 2 3 3 2" xfId="30003" xr:uid="{00000000-0005-0000-0000-0000EC670000}"/>
    <cellStyle name="Total 10 2 2 3 4" xfId="11530" xr:uid="{00000000-0005-0000-0000-0000ED670000}"/>
    <cellStyle name="Total 10 2 2 3 4 2" xfId="26362" xr:uid="{00000000-0005-0000-0000-0000EE670000}"/>
    <cellStyle name="Total 10 2 2 4" xfId="2837" xr:uid="{00000000-0005-0000-0000-0000EF670000}"/>
    <cellStyle name="Total 10 2 2 4 2" xfId="6928" xr:uid="{00000000-0005-0000-0000-0000F0670000}"/>
    <cellStyle name="Total 10 2 2 4 2 2" xfId="16821" xr:uid="{00000000-0005-0000-0000-0000F1670000}"/>
    <cellStyle name="Total 10 2 2 4 2 2 2" xfId="31653" xr:uid="{00000000-0005-0000-0000-0000F2670000}"/>
    <cellStyle name="Total 10 2 2 4 2 3" xfId="18820" xr:uid="{00000000-0005-0000-0000-0000F3670000}"/>
    <cellStyle name="Total 10 2 2 4 3" xfId="13175" xr:uid="{00000000-0005-0000-0000-0000F4670000}"/>
    <cellStyle name="Total 10 2 2 4 3 2" xfId="28007" xr:uid="{00000000-0005-0000-0000-0000F5670000}"/>
    <cellStyle name="Total 10 2 2 4 4" xfId="10474" xr:uid="{00000000-0005-0000-0000-0000F6670000}"/>
    <cellStyle name="Total 10 2 2 4 4 2" xfId="25306" xr:uid="{00000000-0005-0000-0000-0000F7670000}"/>
    <cellStyle name="Total 10 2 2 5" xfId="6001" xr:uid="{00000000-0005-0000-0000-0000F8670000}"/>
    <cellStyle name="Total 10 2 2 5 2" xfId="16193" xr:uid="{00000000-0005-0000-0000-0000F9670000}"/>
    <cellStyle name="Total 10 2 2 5 2 2" xfId="31025" xr:uid="{00000000-0005-0000-0000-0000FA670000}"/>
    <cellStyle name="Total 10 2 2 5 3" xfId="18462" xr:uid="{00000000-0005-0000-0000-0000FB670000}"/>
    <cellStyle name="Total 10 2 2 6" xfId="12263" xr:uid="{00000000-0005-0000-0000-0000FC670000}"/>
    <cellStyle name="Total 10 2 2 6 2" xfId="27095" xr:uid="{00000000-0005-0000-0000-0000FD670000}"/>
    <cellStyle name="Total 10 2 2 7" xfId="9859" xr:uid="{00000000-0005-0000-0000-0000FE670000}"/>
    <cellStyle name="Total 10 2 2 7 2" xfId="24785" xr:uid="{00000000-0005-0000-0000-0000FF670000}"/>
    <cellStyle name="Total 10 2 3" xfId="4004" xr:uid="{00000000-0005-0000-0000-000000680000}"/>
    <cellStyle name="Total 10 2 3 2" xfId="8051" xr:uid="{00000000-0005-0000-0000-000001680000}"/>
    <cellStyle name="Total 10 2 3 2 2" xfId="17469" xr:uid="{00000000-0005-0000-0000-000002680000}"/>
    <cellStyle name="Total 10 2 3 2 2 2" xfId="32301" xr:uid="{00000000-0005-0000-0000-000003680000}"/>
    <cellStyle name="Total 10 2 3 2 3" xfId="19230" xr:uid="{00000000-0005-0000-0000-000004680000}"/>
    <cellStyle name="Total 10 2 3 3" xfId="14336" xr:uid="{00000000-0005-0000-0000-000005680000}"/>
    <cellStyle name="Total 10 2 3 3 2" xfId="29168" xr:uid="{00000000-0005-0000-0000-000006680000}"/>
    <cellStyle name="Total 10 2 3 4" xfId="11086" xr:uid="{00000000-0005-0000-0000-000007680000}"/>
    <cellStyle name="Total 10 2 3 4 2" xfId="25918" xr:uid="{00000000-0005-0000-0000-000008680000}"/>
    <cellStyle name="Total 10 2 4" xfId="4427" xr:uid="{00000000-0005-0000-0000-000009680000}"/>
    <cellStyle name="Total 10 2 4 2" xfId="8466" xr:uid="{00000000-0005-0000-0000-00000A680000}"/>
    <cellStyle name="Total 10 2 4 2 2" xfId="17687" xr:uid="{00000000-0005-0000-0000-00000B680000}"/>
    <cellStyle name="Total 10 2 4 2 2 2" xfId="32519" xr:uid="{00000000-0005-0000-0000-00000C680000}"/>
    <cellStyle name="Total 10 2 4 2 3" xfId="19369" xr:uid="{00000000-0005-0000-0000-00000D680000}"/>
    <cellStyle name="Total 10 2 4 3" xfId="14756" xr:uid="{00000000-0005-0000-0000-00000E680000}"/>
    <cellStyle name="Total 10 2 4 3 2" xfId="29588" xr:uid="{00000000-0005-0000-0000-00000F680000}"/>
    <cellStyle name="Total 10 2 4 4" xfId="11295" xr:uid="{00000000-0005-0000-0000-000010680000}"/>
    <cellStyle name="Total 10 2 4 4 2" xfId="26127" xr:uid="{00000000-0005-0000-0000-000011680000}"/>
    <cellStyle name="Total 10 2 5" xfId="2417" xr:uid="{00000000-0005-0000-0000-000012680000}"/>
    <cellStyle name="Total 10 2 5 2" xfId="6529" xr:uid="{00000000-0005-0000-0000-000013680000}"/>
    <cellStyle name="Total 10 2 5 2 2" xfId="16585" xr:uid="{00000000-0005-0000-0000-000014680000}"/>
    <cellStyle name="Total 10 2 5 2 2 2" xfId="31417" xr:uid="{00000000-0005-0000-0000-000015680000}"/>
    <cellStyle name="Total 10 2 5 2 3" xfId="18657" xr:uid="{00000000-0005-0000-0000-000016680000}"/>
    <cellStyle name="Total 10 2 5 3" xfId="12756" xr:uid="{00000000-0005-0000-0000-000017680000}"/>
    <cellStyle name="Total 10 2 5 3 2" xfId="27588" xr:uid="{00000000-0005-0000-0000-000018680000}"/>
    <cellStyle name="Total 10 2 5 4" xfId="10235" xr:uid="{00000000-0005-0000-0000-000019680000}"/>
    <cellStyle name="Total 10 2 5 4 2" xfId="25067" xr:uid="{00000000-0005-0000-0000-00001A680000}"/>
    <cellStyle name="Total 10 2 6" xfId="5542" xr:uid="{00000000-0005-0000-0000-00001B680000}"/>
    <cellStyle name="Total 10 2 6 2" xfId="15777" xr:uid="{00000000-0005-0000-0000-00001C680000}"/>
    <cellStyle name="Total 10 2 6 2 2" xfId="30609" xr:uid="{00000000-0005-0000-0000-00001D680000}"/>
    <cellStyle name="Total 10 2 6 3" xfId="18299" xr:uid="{00000000-0005-0000-0000-00001E680000}"/>
    <cellStyle name="Total 10 2 7" xfId="11792" xr:uid="{00000000-0005-0000-0000-00001F680000}"/>
    <cellStyle name="Total 10 2 7 2" xfId="26624" xr:uid="{00000000-0005-0000-0000-000020680000}"/>
    <cellStyle name="Total 10 2 8" xfId="9463" xr:uid="{00000000-0005-0000-0000-000021680000}"/>
    <cellStyle name="Total 10 2 8 2" xfId="19767" xr:uid="{00000000-0005-0000-0000-000022680000}"/>
    <cellStyle name="Total 10 3" xfId="1537" xr:uid="{00000000-0005-0000-0000-000023680000}"/>
    <cellStyle name="Total 10 3 2" xfId="2034" xr:uid="{00000000-0005-0000-0000-000024680000}"/>
    <cellStyle name="Total 10 3 2 2" xfId="3749" xr:uid="{00000000-0005-0000-0000-000025680000}"/>
    <cellStyle name="Total 10 3 2 2 2" xfId="7805" xr:uid="{00000000-0005-0000-0000-000026680000}"/>
    <cellStyle name="Total 10 3 2 2 2 2" xfId="17346" xr:uid="{00000000-0005-0000-0000-000027680000}"/>
    <cellStyle name="Total 10 3 2 2 2 2 2" xfId="32178" xr:uid="{00000000-0005-0000-0000-000028680000}"/>
    <cellStyle name="Total 10 3 2 2 2 3" xfId="19140" xr:uid="{00000000-0005-0000-0000-000029680000}"/>
    <cellStyle name="Total 10 3 2 2 3" xfId="14084" xr:uid="{00000000-0005-0000-0000-00002A680000}"/>
    <cellStyle name="Total 10 3 2 2 3 2" xfId="28916" xr:uid="{00000000-0005-0000-0000-00002B680000}"/>
    <cellStyle name="Total 10 3 2 2 4" xfId="10962" xr:uid="{00000000-0005-0000-0000-00002C680000}"/>
    <cellStyle name="Total 10 3 2 2 4 2" xfId="25794" xr:uid="{00000000-0005-0000-0000-00002D680000}"/>
    <cellStyle name="Total 10 3 2 3" xfId="5002" xr:uid="{00000000-0005-0000-0000-00002E680000}"/>
    <cellStyle name="Total 10 3 2 3 2" xfId="9041" xr:uid="{00000000-0005-0000-0000-00002F680000}"/>
    <cellStyle name="Total 10 3 2 3 2 2" xfId="17979" xr:uid="{00000000-0005-0000-0000-000030680000}"/>
    <cellStyle name="Total 10 3 2 3 2 2 2" xfId="32811" xr:uid="{00000000-0005-0000-0000-000031680000}"/>
    <cellStyle name="Total 10 3 2 3 2 3" xfId="19561" xr:uid="{00000000-0005-0000-0000-000032680000}"/>
    <cellStyle name="Total 10 3 2 3 3" xfId="15324" xr:uid="{00000000-0005-0000-0000-000033680000}"/>
    <cellStyle name="Total 10 3 2 3 3 2" xfId="30156" xr:uid="{00000000-0005-0000-0000-000034680000}"/>
    <cellStyle name="Total 10 3 2 3 4" xfId="11580" xr:uid="{00000000-0005-0000-0000-000035680000}"/>
    <cellStyle name="Total 10 3 2 3 4 2" xfId="26412" xr:uid="{00000000-0005-0000-0000-000036680000}"/>
    <cellStyle name="Total 10 3 2 4" xfId="2992" xr:uid="{00000000-0005-0000-0000-000037680000}"/>
    <cellStyle name="Total 10 3 2 4 2" xfId="7072" xr:uid="{00000000-0005-0000-0000-000038680000}"/>
    <cellStyle name="Total 10 3 2 4 2 2" xfId="16871" xr:uid="{00000000-0005-0000-0000-000039680000}"/>
    <cellStyle name="Total 10 3 2 4 2 2 2" xfId="31703" xr:uid="{00000000-0005-0000-0000-00003A680000}"/>
    <cellStyle name="Total 10 3 2 4 2 3" xfId="18853" xr:uid="{00000000-0005-0000-0000-00003B680000}"/>
    <cellStyle name="Total 10 3 2 4 3" xfId="13330" xr:uid="{00000000-0005-0000-0000-00003C680000}"/>
    <cellStyle name="Total 10 3 2 4 3 2" xfId="28162" xr:uid="{00000000-0005-0000-0000-00003D680000}"/>
    <cellStyle name="Total 10 3 2 4 4" xfId="10526" xr:uid="{00000000-0005-0000-0000-00003E680000}"/>
    <cellStyle name="Total 10 3 2 4 4 2" xfId="25358" xr:uid="{00000000-0005-0000-0000-00003F680000}"/>
    <cellStyle name="Total 10 3 2 5" xfId="6164" xr:uid="{00000000-0005-0000-0000-000040680000}"/>
    <cellStyle name="Total 10 3 2 5 2" xfId="16351" xr:uid="{00000000-0005-0000-0000-000041680000}"/>
    <cellStyle name="Total 10 3 2 5 2 2" xfId="31183" xr:uid="{00000000-0005-0000-0000-000042680000}"/>
    <cellStyle name="Total 10 3 2 5 3" xfId="18494" xr:uid="{00000000-0005-0000-0000-000043680000}"/>
    <cellStyle name="Total 10 3 2 6" xfId="12421" xr:uid="{00000000-0005-0000-0000-000044680000}"/>
    <cellStyle name="Total 10 3 2 6 2" xfId="27253" xr:uid="{00000000-0005-0000-0000-000045680000}"/>
    <cellStyle name="Total 10 3 2 7" xfId="10003" xr:uid="{00000000-0005-0000-0000-000046680000}"/>
    <cellStyle name="Total 10 3 2 7 2" xfId="24835" xr:uid="{00000000-0005-0000-0000-000047680000}"/>
    <cellStyle name="Total 10 3 3" xfId="3326" xr:uid="{00000000-0005-0000-0000-000048680000}"/>
    <cellStyle name="Total 10 3 3 2" xfId="7389" xr:uid="{00000000-0005-0000-0000-000049680000}"/>
    <cellStyle name="Total 10 3 3 2 2" xfId="17122" xr:uid="{00000000-0005-0000-0000-00004A680000}"/>
    <cellStyle name="Total 10 3 3 2 2 2" xfId="31954" xr:uid="{00000000-0005-0000-0000-00004B680000}"/>
    <cellStyle name="Total 10 3 3 2 3" xfId="18999" xr:uid="{00000000-0005-0000-0000-00004C680000}"/>
    <cellStyle name="Total 10 3 3 3" xfId="13663" xr:uid="{00000000-0005-0000-0000-00004D680000}"/>
    <cellStyle name="Total 10 3 3 3 2" xfId="28495" xr:uid="{00000000-0005-0000-0000-00004E680000}"/>
    <cellStyle name="Total 10 3 3 4" xfId="10743" xr:uid="{00000000-0005-0000-0000-00004F680000}"/>
    <cellStyle name="Total 10 3 3 4 2" xfId="25575" xr:uid="{00000000-0005-0000-0000-000050680000}"/>
    <cellStyle name="Total 10 3 4" xfId="4582" xr:uid="{00000000-0005-0000-0000-000051680000}"/>
    <cellStyle name="Total 10 3 4 2" xfId="8621" xr:uid="{00000000-0005-0000-0000-000052680000}"/>
    <cellStyle name="Total 10 3 4 2 2" xfId="17739" xr:uid="{00000000-0005-0000-0000-000053680000}"/>
    <cellStyle name="Total 10 3 4 2 2 2" xfId="32571" xr:uid="{00000000-0005-0000-0000-000054680000}"/>
    <cellStyle name="Total 10 3 4 2 3" xfId="19401" xr:uid="{00000000-0005-0000-0000-000055680000}"/>
    <cellStyle name="Total 10 3 4 3" xfId="14909" xr:uid="{00000000-0005-0000-0000-000056680000}"/>
    <cellStyle name="Total 10 3 4 3 2" xfId="29741" xr:uid="{00000000-0005-0000-0000-000057680000}"/>
    <cellStyle name="Total 10 3 4 4" xfId="11345" xr:uid="{00000000-0005-0000-0000-000058680000}"/>
    <cellStyle name="Total 10 3 4 4 2" xfId="26177" xr:uid="{00000000-0005-0000-0000-000059680000}"/>
    <cellStyle name="Total 10 3 5" xfId="2572" xr:uid="{00000000-0005-0000-0000-00005A680000}"/>
    <cellStyle name="Total 10 3 5 2" xfId="6678" xr:uid="{00000000-0005-0000-0000-00005B680000}"/>
    <cellStyle name="Total 10 3 5 2 2" xfId="16636" xr:uid="{00000000-0005-0000-0000-00005C680000}"/>
    <cellStyle name="Total 10 3 5 2 2 2" xfId="31468" xr:uid="{00000000-0005-0000-0000-00005D680000}"/>
    <cellStyle name="Total 10 3 5 2 3" xfId="18689" xr:uid="{00000000-0005-0000-0000-00005E680000}"/>
    <cellStyle name="Total 10 3 5 3" xfId="12910" xr:uid="{00000000-0005-0000-0000-00005F680000}"/>
    <cellStyle name="Total 10 3 5 3 2" xfId="27742" xr:uid="{00000000-0005-0000-0000-000060680000}"/>
    <cellStyle name="Total 10 3 5 4" xfId="10286" xr:uid="{00000000-0005-0000-0000-000061680000}"/>
    <cellStyle name="Total 10 3 5 4 2" xfId="25118" xr:uid="{00000000-0005-0000-0000-000062680000}"/>
    <cellStyle name="Total 10 3 6" xfId="5695" xr:uid="{00000000-0005-0000-0000-000063680000}"/>
    <cellStyle name="Total 10 3 6 2" xfId="15930" xr:uid="{00000000-0005-0000-0000-000064680000}"/>
    <cellStyle name="Total 10 3 6 2 2" xfId="30762" xr:uid="{00000000-0005-0000-0000-000065680000}"/>
    <cellStyle name="Total 10 3 6 3" xfId="18331" xr:uid="{00000000-0005-0000-0000-000066680000}"/>
    <cellStyle name="Total 10 3 7" xfId="11950" xr:uid="{00000000-0005-0000-0000-000067680000}"/>
    <cellStyle name="Total 10 3 7 2" xfId="26782" xr:uid="{00000000-0005-0000-0000-000068680000}"/>
    <cellStyle name="Total 10 3 8" xfId="9608" xr:uid="{00000000-0005-0000-0000-000069680000}"/>
    <cellStyle name="Total 10 3 8 2" xfId="19910" xr:uid="{00000000-0005-0000-0000-00006A680000}"/>
    <cellStyle name="Total 10 4" xfId="1590" xr:uid="{00000000-0005-0000-0000-00006B680000}"/>
    <cellStyle name="Total 10 4 2" xfId="2087" xr:uid="{00000000-0005-0000-0000-00006C680000}"/>
    <cellStyle name="Total 10 4 2 2" xfId="3805" xr:uid="{00000000-0005-0000-0000-00006D680000}"/>
    <cellStyle name="Total 10 4 2 2 2" xfId="7860" xr:uid="{00000000-0005-0000-0000-00006E680000}"/>
    <cellStyle name="Total 10 4 2 2 2 2" xfId="17373" xr:uid="{00000000-0005-0000-0000-00006F680000}"/>
    <cellStyle name="Total 10 4 2 2 2 2 2" xfId="32205" xr:uid="{00000000-0005-0000-0000-000070680000}"/>
    <cellStyle name="Total 10 4 2 2 2 3" xfId="19159" xr:uid="{00000000-0005-0000-0000-000071680000}"/>
    <cellStyle name="Total 10 4 2 2 3" xfId="14140" xr:uid="{00000000-0005-0000-0000-000072680000}"/>
    <cellStyle name="Total 10 4 2 2 3 2" xfId="28972" xr:uid="{00000000-0005-0000-0000-000073680000}"/>
    <cellStyle name="Total 10 4 2 2 4" xfId="10990" xr:uid="{00000000-0005-0000-0000-000074680000}"/>
    <cellStyle name="Total 10 4 2 2 4 2" xfId="25822" xr:uid="{00000000-0005-0000-0000-000075680000}"/>
    <cellStyle name="Total 10 4 2 3" xfId="5055" xr:uid="{00000000-0005-0000-0000-000076680000}"/>
    <cellStyle name="Total 10 4 2 3 2" xfId="9094" xr:uid="{00000000-0005-0000-0000-000077680000}"/>
    <cellStyle name="Total 10 4 2 3 2 2" xfId="18027" xr:uid="{00000000-0005-0000-0000-000078680000}"/>
    <cellStyle name="Total 10 4 2 3 2 2 2" xfId="32859" xr:uid="{00000000-0005-0000-0000-000079680000}"/>
    <cellStyle name="Total 10 4 2 3 2 3" xfId="19593" xr:uid="{00000000-0005-0000-0000-00007A680000}"/>
    <cellStyle name="Total 10 4 2 3 3" xfId="15376" xr:uid="{00000000-0005-0000-0000-00007B680000}"/>
    <cellStyle name="Total 10 4 2 3 3 2" xfId="30208" xr:uid="{00000000-0005-0000-0000-00007C680000}"/>
    <cellStyle name="Total 10 4 2 3 4" xfId="11627" xr:uid="{00000000-0005-0000-0000-00007D680000}"/>
    <cellStyle name="Total 10 4 2 3 4 2" xfId="26459" xr:uid="{00000000-0005-0000-0000-00007E680000}"/>
    <cellStyle name="Total 10 4 2 4" xfId="3045" xr:uid="{00000000-0005-0000-0000-00007F680000}"/>
    <cellStyle name="Total 10 4 2 4 2" xfId="7120" xr:uid="{00000000-0005-0000-0000-000080680000}"/>
    <cellStyle name="Total 10 4 2 4 2 2" xfId="16918" xr:uid="{00000000-0005-0000-0000-000081680000}"/>
    <cellStyle name="Total 10 4 2 4 2 2 2" xfId="31750" xr:uid="{00000000-0005-0000-0000-000082680000}"/>
    <cellStyle name="Total 10 4 2 4 2 3" xfId="18886" xr:uid="{00000000-0005-0000-0000-000083680000}"/>
    <cellStyle name="Total 10 4 2 4 3" xfId="13383" xr:uid="{00000000-0005-0000-0000-000084680000}"/>
    <cellStyle name="Total 10 4 2 4 3 2" xfId="28215" xr:uid="{00000000-0005-0000-0000-000085680000}"/>
    <cellStyle name="Total 10 4 2 4 4" xfId="10574" xr:uid="{00000000-0005-0000-0000-000086680000}"/>
    <cellStyle name="Total 10 4 2 4 4 2" xfId="25406" xr:uid="{00000000-0005-0000-0000-000087680000}"/>
    <cellStyle name="Total 10 4 2 5" xfId="6212" xr:uid="{00000000-0005-0000-0000-000088680000}"/>
    <cellStyle name="Total 10 4 2 5 2" xfId="16398" xr:uid="{00000000-0005-0000-0000-000089680000}"/>
    <cellStyle name="Total 10 4 2 5 2 2" xfId="31230" xr:uid="{00000000-0005-0000-0000-00008A680000}"/>
    <cellStyle name="Total 10 4 2 5 3" xfId="18527" xr:uid="{00000000-0005-0000-0000-00008B680000}"/>
    <cellStyle name="Total 10 4 2 6" xfId="12468" xr:uid="{00000000-0005-0000-0000-00008C680000}"/>
    <cellStyle name="Total 10 4 2 6 2" xfId="27300" xr:uid="{00000000-0005-0000-0000-00008D680000}"/>
    <cellStyle name="Total 10 4 2 7" xfId="10050" xr:uid="{00000000-0005-0000-0000-00008E680000}"/>
    <cellStyle name="Total 10 4 2 7 2" xfId="24882" xr:uid="{00000000-0005-0000-0000-00008F680000}"/>
    <cellStyle name="Total 10 4 3" xfId="3754" xr:uid="{00000000-0005-0000-0000-000090680000}"/>
    <cellStyle name="Total 10 4 3 2" xfId="7810" xr:uid="{00000000-0005-0000-0000-000091680000}"/>
    <cellStyle name="Total 10 4 3 2 2" xfId="17348" xr:uid="{00000000-0005-0000-0000-000092680000}"/>
    <cellStyle name="Total 10 4 3 2 2 2" xfId="32180" xr:uid="{00000000-0005-0000-0000-000093680000}"/>
    <cellStyle name="Total 10 4 3 2 3" xfId="19142" xr:uid="{00000000-0005-0000-0000-000094680000}"/>
    <cellStyle name="Total 10 4 3 3" xfId="14089" xr:uid="{00000000-0005-0000-0000-000095680000}"/>
    <cellStyle name="Total 10 4 3 3 2" xfId="28921" xr:uid="{00000000-0005-0000-0000-000096680000}"/>
    <cellStyle name="Total 10 4 3 4" xfId="10964" xr:uid="{00000000-0005-0000-0000-000097680000}"/>
    <cellStyle name="Total 10 4 3 4 2" xfId="25796" xr:uid="{00000000-0005-0000-0000-000098680000}"/>
    <cellStyle name="Total 10 4 4" xfId="4635" xr:uid="{00000000-0005-0000-0000-000099680000}"/>
    <cellStyle name="Total 10 4 4 2" xfId="8674" xr:uid="{00000000-0005-0000-0000-00009A680000}"/>
    <cellStyle name="Total 10 4 4 2 2" xfId="17787" xr:uid="{00000000-0005-0000-0000-00009B680000}"/>
    <cellStyle name="Total 10 4 4 2 2 2" xfId="32619" xr:uid="{00000000-0005-0000-0000-00009C680000}"/>
    <cellStyle name="Total 10 4 4 2 3" xfId="19433" xr:uid="{00000000-0005-0000-0000-00009D680000}"/>
    <cellStyle name="Total 10 4 4 3" xfId="14961" xr:uid="{00000000-0005-0000-0000-00009E680000}"/>
    <cellStyle name="Total 10 4 4 3 2" xfId="29793" xr:uid="{00000000-0005-0000-0000-00009F680000}"/>
    <cellStyle name="Total 10 4 4 4" xfId="11392" xr:uid="{00000000-0005-0000-0000-0000A0680000}"/>
    <cellStyle name="Total 10 4 4 4 2" xfId="26224" xr:uid="{00000000-0005-0000-0000-0000A1680000}"/>
    <cellStyle name="Total 10 4 5" xfId="2625" xr:uid="{00000000-0005-0000-0000-0000A2680000}"/>
    <cellStyle name="Total 10 4 5 2" xfId="6726" xr:uid="{00000000-0005-0000-0000-0000A3680000}"/>
    <cellStyle name="Total 10 4 5 2 2" xfId="16683" xr:uid="{00000000-0005-0000-0000-0000A4680000}"/>
    <cellStyle name="Total 10 4 5 2 2 2" xfId="31515" xr:uid="{00000000-0005-0000-0000-0000A5680000}"/>
    <cellStyle name="Total 10 4 5 2 3" xfId="18722" xr:uid="{00000000-0005-0000-0000-0000A6680000}"/>
    <cellStyle name="Total 10 4 5 3" xfId="12963" xr:uid="{00000000-0005-0000-0000-0000A7680000}"/>
    <cellStyle name="Total 10 4 5 3 2" xfId="27795" xr:uid="{00000000-0005-0000-0000-0000A8680000}"/>
    <cellStyle name="Total 10 4 5 4" xfId="10334" xr:uid="{00000000-0005-0000-0000-0000A9680000}"/>
    <cellStyle name="Total 10 4 5 4 2" xfId="25166" xr:uid="{00000000-0005-0000-0000-0000AA680000}"/>
    <cellStyle name="Total 10 4 6" xfId="5742" xr:uid="{00000000-0005-0000-0000-0000AB680000}"/>
    <cellStyle name="Total 10 4 6 2" xfId="15977" xr:uid="{00000000-0005-0000-0000-0000AC680000}"/>
    <cellStyle name="Total 10 4 6 2 2" xfId="30809" xr:uid="{00000000-0005-0000-0000-0000AD680000}"/>
    <cellStyle name="Total 10 4 6 3" xfId="18363" xr:uid="{00000000-0005-0000-0000-0000AE680000}"/>
    <cellStyle name="Total 10 4 7" xfId="11997" xr:uid="{00000000-0005-0000-0000-0000AF680000}"/>
    <cellStyle name="Total 10 4 7 2" xfId="26829" xr:uid="{00000000-0005-0000-0000-0000B0680000}"/>
    <cellStyle name="Total 10 4 8" xfId="9656" xr:uid="{00000000-0005-0000-0000-0000B1680000}"/>
    <cellStyle name="Total 10 4 8 2" xfId="19957" xr:uid="{00000000-0005-0000-0000-0000B2680000}"/>
    <cellStyle name="Total 10 5" xfId="1640" xr:uid="{00000000-0005-0000-0000-0000B3680000}"/>
    <cellStyle name="Total 10 5 2" xfId="2137" xr:uid="{00000000-0005-0000-0000-0000B4680000}"/>
    <cellStyle name="Total 10 5 2 2" xfId="3927" xr:uid="{00000000-0005-0000-0000-0000B5680000}"/>
    <cellStyle name="Total 10 5 2 2 2" xfId="7977" xr:uid="{00000000-0005-0000-0000-0000B6680000}"/>
    <cellStyle name="Total 10 5 2 2 2 2" xfId="17435" xr:uid="{00000000-0005-0000-0000-0000B7680000}"/>
    <cellStyle name="Total 10 5 2 2 2 2 2" xfId="32267" xr:uid="{00000000-0005-0000-0000-0000B8680000}"/>
    <cellStyle name="Total 10 5 2 2 2 3" xfId="19204" xr:uid="{00000000-0005-0000-0000-0000B9680000}"/>
    <cellStyle name="Total 10 5 2 2 3" xfId="14260" xr:uid="{00000000-0005-0000-0000-0000BA680000}"/>
    <cellStyle name="Total 10 5 2 2 3 2" xfId="29092" xr:uid="{00000000-0005-0000-0000-0000BB680000}"/>
    <cellStyle name="Total 10 5 2 2 4" xfId="11050" xr:uid="{00000000-0005-0000-0000-0000BC680000}"/>
    <cellStyle name="Total 10 5 2 2 4 2" xfId="25882" xr:uid="{00000000-0005-0000-0000-0000BD680000}"/>
    <cellStyle name="Total 10 5 2 3" xfId="5105" xr:uid="{00000000-0005-0000-0000-0000BE680000}"/>
    <cellStyle name="Total 10 5 2 3 2" xfId="9144" xr:uid="{00000000-0005-0000-0000-0000BF680000}"/>
    <cellStyle name="Total 10 5 2 3 2 2" xfId="18072" xr:uid="{00000000-0005-0000-0000-0000C0680000}"/>
    <cellStyle name="Total 10 5 2 3 2 2 2" xfId="32904" xr:uid="{00000000-0005-0000-0000-0000C1680000}"/>
    <cellStyle name="Total 10 5 2 3 2 3" xfId="19625" xr:uid="{00000000-0005-0000-0000-0000C2680000}"/>
    <cellStyle name="Total 10 5 2 3 3" xfId="15425" xr:uid="{00000000-0005-0000-0000-0000C3680000}"/>
    <cellStyle name="Total 10 5 2 3 3 2" xfId="30257" xr:uid="{00000000-0005-0000-0000-0000C4680000}"/>
    <cellStyle name="Total 10 5 2 3 4" xfId="11671" xr:uid="{00000000-0005-0000-0000-0000C5680000}"/>
    <cellStyle name="Total 10 5 2 3 4 2" xfId="26503" xr:uid="{00000000-0005-0000-0000-0000C6680000}"/>
    <cellStyle name="Total 10 5 2 4" xfId="3095" xr:uid="{00000000-0005-0000-0000-0000C7680000}"/>
    <cellStyle name="Total 10 5 2 4 2" xfId="7165" xr:uid="{00000000-0005-0000-0000-0000C8680000}"/>
    <cellStyle name="Total 10 5 2 4 2 2" xfId="16962" xr:uid="{00000000-0005-0000-0000-0000C9680000}"/>
    <cellStyle name="Total 10 5 2 4 2 2 2" xfId="31794" xr:uid="{00000000-0005-0000-0000-0000CA680000}"/>
    <cellStyle name="Total 10 5 2 4 2 3" xfId="18919" xr:uid="{00000000-0005-0000-0000-0000CB680000}"/>
    <cellStyle name="Total 10 5 2 4 3" xfId="13433" xr:uid="{00000000-0005-0000-0000-0000CC680000}"/>
    <cellStyle name="Total 10 5 2 4 3 2" xfId="28265" xr:uid="{00000000-0005-0000-0000-0000CD680000}"/>
    <cellStyle name="Total 10 5 2 4 4" xfId="10619" xr:uid="{00000000-0005-0000-0000-0000CE680000}"/>
    <cellStyle name="Total 10 5 2 4 4 2" xfId="25451" xr:uid="{00000000-0005-0000-0000-0000CF680000}"/>
    <cellStyle name="Total 10 5 2 5" xfId="6257" xr:uid="{00000000-0005-0000-0000-0000D0680000}"/>
    <cellStyle name="Total 10 5 2 5 2" xfId="16442" xr:uid="{00000000-0005-0000-0000-0000D1680000}"/>
    <cellStyle name="Total 10 5 2 5 2 2" xfId="31274" xr:uid="{00000000-0005-0000-0000-0000D2680000}"/>
    <cellStyle name="Total 10 5 2 5 3" xfId="18560" xr:uid="{00000000-0005-0000-0000-0000D3680000}"/>
    <cellStyle name="Total 10 5 2 6" xfId="12512" xr:uid="{00000000-0005-0000-0000-0000D4680000}"/>
    <cellStyle name="Total 10 5 2 6 2" xfId="27344" xr:uid="{00000000-0005-0000-0000-0000D5680000}"/>
    <cellStyle name="Total 10 5 2 7" xfId="10094" xr:uid="{00000000-0005-0000-0000-0000D6680000}"/>
    <cellStyle name="Total 10 5 2 7 2" xfId="24926" xr:uid="{00000000-0005-0000-0000-0000D7680000}"/>
    <cellStyle name="Total 10 5 3" xfId="3900" xr:uid="{00000000-0005-0000-0000-0000D8680000}"/>
    <cellStyle name="Total 10 5 3 2" xfId="7951" xr:uid="{00000000-0005-0000-0000-0000D9680000}"/>
    <cellStyle name="Total 10 5 3 2 2" xfId="17419" xr:uid="{00000000-0005-0000-0000-0000DA680000}"/>
    <cellStyle name="Total 10 5 3 2 2 2" xfId="32251" xr:uid="{00000000-0005-0000-0000-0000DB680000}"/>
    <cellStyle name="Total 10 5 3 2 3" xfId="19192" xr:uid="{00000000-0005-0000-0000-0000DC680000}"/>
    <cellStyle name="Total 10 5 3 3" xfId="14233" xr:uid="{00000000-0005-0000-0000-0000DD680000}"/>
    <cellStyle name="Total 10 5 3 3 2" xfId="29065" xr:uid="{00000000-0005-0000-0000-0000DE680000}"/>
    <cellStyle name="Total 10 5 3 4" xfId="11035" xr:uid="{00000000-0005-0000-0000-0000DF680000}"/>
    <cellStyle name="Total 10 5 3 4 2" xfId="25867" xr:uid="{00000000-0005-0000-0000-0000E0680000}"/>
    <cellStyle name="Total 10 5 4" xfId="4685" xr:uid="{00000000-0005-0000-0000-0000E1680000}"/>
    <cellStyle name="Total 10 5 4 2" xfId="8724" xr:uid="{00000000-0005-0000-0000-0000E2680000}"/>
    <cellStyle name="Total 10 5 4 2 2" xfId="17832" xr:uid="{00000000-0005-0000-0000-0000E3680000}"/>
    <cellStyle name="Total 10 5 4 2 2 2" xfId="32664" xr:uid="{00000000-0005-0000-0000-0000E4680000}"/>
    <cellStyle name="Total 10 5 4 2 3" xfId="19465" xr:uid="{00000000-0005-0000-0000-0000E5680000}"/>
    <cellStyle name="Total 10 5 4 3" xfId="15010" xr:uid="{00000000-0005-0000-0000-0000E6680000}"/>
    <cellStyle name="Total 10 5 4 3 2" xfId="29842" xr:uid="{00000000-0005-0000-0000-0000E7680000}"/>
    <cellStyle name="Total 10 5 4 4" xfId="11436" xr:uid="{00000000-0005-0000-0000-0000E8680000}"/>
    <cellStyle name="Total 10 5 4 4 2" xfId="26268" xr:uid="{00000000-0005-0000-0000-0000E9680000}"/>
    <cellStyle name="Total 10 5 5" xfId="2675" xr:uid="{00000000-0005-0000-0000-0000EA680000}"/>
    <cellStyle name="Total 10 5 5 2" xfId="6771" xr:uid="{00000000-0005-0000-0000-0000EB680000}"/>
    <cellStyle name="Total 10 5 5 2 2" xfId="16727" xr:uid="{00000000-0005-0000-0000-0000EC680000}"/>
    <cellStyle name="Total 10 5 5 2 2 2" xfId="31559" xr:uid="{00000000-0005-0000-0000-0000ED680000}"/>
    <cellStyle name="Total 10 5 5 2 3" xfId="18755" xr:uid="{00000000-0005-0000-0000-0000EE680000}"/>
    <cellStyle name="Total 10 5 5 3" xfId="13013" xr:uid="{00000000-0005-0000-0000-0000EF680000}"/>
    <cellStyle name="Total 10 5 5 3 2" xfId="27845" xr:uid="{00000000-0005-0000-0000-0000F0680000}"/>
    <cellStyle name="Total 10 5 5 4" xfId="10379" xr:uid="{00000000-0005-0000-0000-0000F1680000}"/>
    <cellStyle name="Total 10 5 5 4 2" xfId="25211" xr:uid="{00000000-0005-0000-0000-0000F2680000}"/>
    <cellStyle name="Total 10 5 6" xfId="5787" xr:uid="{00000000-0005-0000-0000-0000F3680000}"/>
    <cellStyle name="Total 10 5 6 2" xfId="16021" xr:uid="{00000000-0005-0000-0000-0000F4680000}"/>
    <cellStyle name="Total 10 5 6 2 2" xfId="30853" xr:uid="{00000000-0005-0000-0000-0000F5680000}"/>
    <cellStyle name="Total 10 5 6 3" xfId="18396" xr:uid="{00000000-0005-0000-0000-0000F6680000}"/>
    <cellStyle name="Total 10 5 7" xfId="12041" xr:uid="{00000000-0005-0000-0000-0000F7680000}"/>
    <cellStyle name="Total 10 5 7 2" xfId="26873" xr:uid="{00000000-0005-0000-0000-0000F8680000}"/>
    <cellStyle name="Total 10 5 8" xfId="9701" xr:uid="{00000000-0005-0000-0000-0000F9680000}"/>
    <cellStyle name="Total 10 5 8 2" xfId="20001" xr:uid="{00000000-0005-0000-0000-0000FA680000}"/>
    <cellStyle name="Total 10 6" xfId="1791" xr:uid="{00000000-0005-0000-0000-0000FB680000}"/>
    <cellStyle name="Total 10 6 2" xfId="4126" xr:uid="{00000000-0005-0000-0000-0000FC680000}"/>
    <cellStyle name="Total 10 6 2 2" xfId="8170" xr:uid="{00000000-0005-0000-0000-0000FD680000}"/>
    <cellStyle name="Total 10 6 2 2 2" xfId="17532" xr:uid="{00000000-0005-0000-0000-0000FE680000}"/>
    <cellStyle name="Total 10 6 2 2 2 2" xfId="32364" xr:uid="{00000000-0005-0000-0000-0000FF680000}"/>
    <cellStyle name="Total 10 6 2 2 3" xfId="19276" xr:uid="{00000000-0005-0000-0000-000000690000}"/>
    <cellStyle name="Total 10 6 2 3" xfId="14458" xr:uid="{00000000-0005-0000-0000-000001690000}"/>
    <cellStyle name="Total 10 6 2 3 2" xfId="29290" xr:uid="{00000000-0005-0000-0000-000002690000}"/>
    <cellStyle name="Total 10 6 2 4" xfId="11150" xr:uid="{00000000-0005-0000-0000-000003690000}"/>
    <cellStyle name="Total 10 6 2 4 2" xfId="25982" xr:uid="{00000000-0005-0000-0000-000004690000}"/>
    <cellStyle name="Total 10 6 3" xfId="4769" xr:uid="{00000000-0005-0000-0000-000005690000}"/>
    <cellStyle name="Total 10 6 3 2" xfId="8808" xr:uid="{00000000-0005-0000-0000-000006690000}"/>
    <cellStyle name="Total 10 6 3 2 2" xfId="17880" xr:uid="{00000000-0005-0000-0000-000007690000}"/>
    <cellStyle name="Total 10 6 3 2 2 2" xfId="32712" xr:uid="{00000000-0005-0000-0000-000008690000}"/>
    <cellStyle name="Total 10 6 3 2 3" xfId="19497" xr:uid="{00000000-0005-0000-0000-000009690000}"/>
    <cellStyle name="Total 10 6 3 3" xfId="15093" xr:uid="{00000000-0005-0000-0000-00000A690000}"/>
    <cellStyle name="Total 10 6 3 3 2" xfId="29925" xr:uid="{00000000-0005-0000-0000-00000B690000}"/>
    <cellStyle name="Total 10 6 3 4" xfId="11483" xr:uid="{00000000-0005-0000-0000-00000C690000}"/>
    <cellStyle name="Total 10 6 3 4 2" xfId="26315" xr:uid="{00000000-0005-0000-0000-00000D690000}"/>
    <cellStyle name="Total 10 6 4" xfId="2759" xr:uid="{00000000-0005-0000-0000-00000E690000}"/>
    <cellStyle name="Total 10 6 4 2" xfId="6850" xr:uid="{00000000-0005-0000-0000-00000F690000}"/>
    <cellStyle name="Total 10 6 4 2 2" xfId="16774" xr:uid="{00000000-0005-0000-0000-000010690000}"/>
    <cellStyle name="Total 10 6 4 2 2 2" xfId="31606" xr:uid="{00000000-0005-0000-0000-000011690000}"/>
    <cellStyle name="Total 10 6 4 2 3" xfId="18788" xr:uid="{00000000-0005-0000-0000-000012690000}"/>
    <cellStyle name="Total 10 6 4 3" xfId="13097" xr:uid="{00000000-0005-0000-0000-000013690000}"/>
    <cellStyle name="Total 10 6 4 3 2" xfId="27929" xr:uid="{00000000-0005-0000-0000-000014690000}"/>
    <cellStyle name="Total 10 6 4 4" xfId="10427" xr:uid="{00000000-0005-0000-0000-000015690000}"/>
    <cellStyle name="Total 10 6 4 4 2" xfId="25259" xr:uid="{00000000-0005-0000-0000-000016690000}"/>
    <cellStyle name="Total 10 6 5" xfId="5923" xr:uid="{00000000-0005-0000-0000-000017690000}"/>
    <cellStyle name="Total 10 6 5 2" xfId="16115" xr:uid="{00000000-0005-0000-0000-000018690000}"/>
    <cellStyle name="Total 10 6 5 2 2" xfId="30947" xr:uid="{00000000-0005-0000-0000-000019690000}"/>
    <cellStyle name="Total 10 6 5 3" xfId="18430" xr:uid="{00000000-0005-0000-0000-00001A690000}"/>
    <cellStyle name="Total 10 6 6" xfId="12185" xr:uid="{00000000-0005-0000-0000-00001B690000}"/>
    <cellStyle name="Total 10 6 6 2" xfId="27017" xr:uid="{00000000-0005-0000-0000-00001C690000}"/>
    <cellStyle name="Total 10 6 7" xfId="9781" xr:uid="{00000000-0005-0000-0000-00001D690000}"/>
    <cellStyle name="Total 10 6 7 2" xfId="24738" xr:uid="{00000000-0005-0000-0000-00001E690000}"/>
    <cellStyle name="Total 10 7" xfId="2175" xr:uid="{00000000-0005-0000-0000-00001F690000}"/>
    <cellStyle name="Total 10 7 2" xfId="3807" xr:uid="{00000000-0005-0000-0000-000020690000}"/>
    <cellStyle name="Total 10 7 2 2" xfId="7862" xr:uid="{00000000-0005-0000-0000-000021690000}"/>
    <cellStyle name="Total 10 7 2 2 2" xfId="17375" xr:uid="{00000000-0005-0000-0000-000022690000}"/>
    <cellStyle name="Total 10 7 2 2 2 2" xfId="32207" xr:uid="{00000000-0005-0000-0000-000023690000}"/>
    <cellStyle name="Total 10 7 2 2 3" xfId="19160" xr:uid="{00000000-0005-0000-0000-000024690000}"/>
    <cellStyle name="Total 10 7 2 3" xfId="14142" xr:uid="{00000000-0005-0000-0000-000025690000}"/>
    <cellStyle name="Total 10 7 2 3 2" xfId="28974" xr:uid="{00000000-0005-0000-0000-000026690000}"/>
    <cellStyle name="Total 10 7 2 4" xfId="10992" xr:uid="{00000000-0005-0000-0000-000027690000}"/>
    <cellStyle name="Total 10 7 2 4 2" xfId="25824" xr:uid="{00000000-0005-0000-0000-000028690000}"/>
    <cellStyle name="Total 10 7 3" xfId="5143" xr:uid="{00000000-0005-0000-0000-000029690000}"/>
    <cellStyle name="Total 10 7 3 2" xfId="9182" xr:uid="{00000000-0005-0000-0000-00002A690000}"/>
    <cellStyle name="Total 10 7 3 2 2" xfId="18105" xr:uid="{00000000-0005-0000-0000-00002B690000}"/>
    <cellStyle name="Total 10 7 3 2 2 2" xfId="32937" xr:uid="{00000000-0005-0000-0000-00002C690000}"/>
    <cellStyle name="Total 10 7 3 2 3" xfId="19656" xr:uid="{00000000-0005-0000-0000-00002D690000}"/>
    <cellStyle name="Total 10 7 3 3" xfId="15461" xr:uid="{00000000-0005-0000-0000-00002E690000}"/>
    <cellStyle name="Total 10 7 3 3 2" xfId="30293" xr:uid="{00000000-0005-0000-0000-00002F690000}"/>
    <cellStyle name="Total 10 7 3 4" xfId="11702" xr:uid="{00000000-0005-0000-0000-000030690000}"/>
    <cellStyle name="Total 10 7 3 4 2" xfId="26534" xr:uid="{00000000-0005-0000-0000-000031690000}"/>
    <cellStyle name="Total 10 7 4" xfId="4173" xr:uid="{00000000-0005-0000-0000-000032690000}"/>
    <cellStyle name="Total 10 7 4 2" xfId="8214" xr:uid="{00000000-0005-0000-0000-000033690000}"/>
    <cellStyle name="Total 10 7 4 2 2" xfId="17561" xr:uid="{00000000-0005-0000-0000-000034690000}"/>
    <cellStyle name="Total 10 7 4 2 2 2" xfId="32393" xr:uid="{00000000-0005-0000-0000-000035690000}"/>
    <cellStyle name="Total 10 7 4 2 3" xfId="19299" xr:uid="{00000000-0005-0000-0000-000036690000}"/>
    <cellStyle name="Total 10 7 4 3" xfId="14505" xr:uid="{00000000-0005-0000-0000-000037690000}"/>
    <cellStyle name="Total 10 7 4 3 2" xfId="29337" xr:uid="{00000000-0005-0000-0000-000038690000}"/>
    <cellStyle name="Total 10 7 4 4" xfId="11181" xr:uid="{00000000-0005-0000-0000-000039690000}"/>
    <cellStyle name="Total 10 7 4 4 2" xfId="26013" xr:uid="{00000000-0005-0000-0000-00003A690000}"/>
    <cellStyle name="Total 10 7 5" xfId="6289" xr:uid="{00000000-0005-0000-0000-00003B690000}"/>
    <cellStyle name="Total 10 7 5 2" xfId="16473" xr:uid="{00000000-0005-0000-0000-00003C690000}"/>
    <cellStyle name="Total 10 7 5 2 2" xfId="31305" xr:uid="{00000000-0005-0000-0000-00003D690000}"/>
    <cellStyle name="Total 10 7 5 3" xfId="18592" xr:uid="{00000000-0005-0000-0000-00003E690000}"/>
    <cellStyle name="Total 10 7 6" xfId="12543" xr:uid="{00000000-0005-0000-0000-00003F690000}"/>
    <cellStyle name="Total 10 7 6 2" xfId="27375" xr:uid="{00000000-0005-0000-0000-000040690000}"/>
    <cellStyle name="Total 10 7 7" xfId="10125" xr:uid="{00000000-0005-0000-0000-000041690000}"/>
    <cellStyle name="Total 10 7 7 2" xfId="24957" xr:uid="{00000000-0005-0000-0000-000042690000}"/>
    <cellStyle name="Total 10 8" xfId="4036" xr:uid="{00000000-0005-0000-0000-000043690000}"/>
    <cellStyle name="Total 10 8 2" xfId="8083" xr:uid="{00000000-0005-0000-0000-000044690000}"/>
    <cellStyle name="Total 10 8 2 2" xfId="17487" xr:uid="{00000000-0005-0000-0000-000045690000}"/>
    <cellStyle name="Total 10 8 2 2 2" xfId="32319" xr:uid="{00000000-0005-0000-0000-000046690000}"/>
    <cellStyle name="Total 10 8 2 3" xfId="19243" xr:uid="{00000000-0005-0000-0000-000047690000}"/>
    <cellStyle name="Total 10 8 3" xfId="14368" xr:uid="{00000000-0005-0000-0000-000048690000}"/>
    <cellStyle name="Total 10 8 3 2" xfId="29200" xr:uid="{00000000-0005-0000-0000-000049690000}"/>
    <cellStyle name="Total 10 8 4" xfId="11103" xr:uid="{00000000-0005-0000-0000-00004A690000}"/>
    <cellStyle name="Total 10 8 4 2" xfId="25935" xr:uid="{00000000-0005-0000-0000-00004B690000}"/>
    <cellStyle name="Total 10 9" xfId="3258" xr:uid="{00000000-0005-0000-0000-00004C690000}"/>
    <cellStyle name="Total 10 9 2" xfId="7322" xr:uid="{00000000-0005-0000-0000-00004D690000}"/>
    <cellStyle name="Total 10 9 2 2" xfId="17072" xr:uid="{00000000-0005-0000-0000-00004E690000}"/>
    <cellStyle name="Total 10 9 2 2 2" xfId="31904" xr:uid="{00000000-0005-0000-0000-00004F690000}"/>
    <cellStyle name="Total 10 9 2 3" xfId="18975" xr:uid="{00000000-0005-0000-0000-000050690000}"/>
    <cellStyle name="Total 10 9 3" xfId="13595" xr:uid="{00000000-0005-0000-0000-000051690000}"/>
    <cellStyle name="Total 10 9 3 2" xfId="28427" xr:uid="{00000000-0005-0000-0000-000052690000}"/>
    <cellStyle name="Total 10 9 4" xfId="10702" xr:uid="{00000000-0005-0000-0000-000053690000}"/>
    <cellStyle name="Total 10 9 4 2" xfId="25534" xr:uid="{00000000-0005-0000-0000-000054690000}"/>
    <cellStyle name="Total 2" xfId="1267" xr:uid="{00000000-0005-0000-0000-000055690000}"/>
    <cellStyle name="Total 2 10" xfId="1538" xr:uid="{00000000-0005-0000-0000-000056690000}"/>
    <cellStyle name="Total 2 10 2" xfId="2035" xr:uid="{00000000-0005-0000-0000-000057690000}"/>
    <cellStyle name="Total 2 10 2 2" xfId="4332" xr:uid="{00000000-0005-0000-0000-000058690000}"/>
    <cellStyle name="Total 2 10 2 2 2" xfId="8371" xr:uid="{00000000-0005-0000-0000-000059690000}"/>
    <cellStyle name="Total 2 10 2 2 2 2" xfId="17649" xr:uid="{00000000-0005-0000-0000-00005A690000}"/>
    <cellStyle name="Total 2 10 2 2 2 2 2" xfId="32481" xr:uid="{00000000-0005-0000-0000-00005B690000}"/>
    <cellStyle name="Total 2 10 2 2 2 3" xfId="19348" xr:uid="{00000000-0005-0000-0000-00005C690000}"/>
    <cellStyle name="Total 2 10 2 2 3" xfId="14663" xr:uid="{00000000-0005-0000-0000-00005D690000}"/>
    <cellStyle name="Total 2 10 2 2 3 2" xfId="29495" xr:uid="{00000000-0005-0000-0000-00005E690000}"/>
    <cellStyle name="Total 2 10 2 2 4" xfId="11259" xr:uid="{00000000-0005-0000-0000-00005F690000}"/>
    <cellStyle name="Total 2 10 2 2 4 2" xfId="26091" xr:uid="{00000000-0005-0000-0000-000060690000}"/>
    <cellStyle name="Total 2 10 2 3" xfId="5003" xr:uid="{00000000-0005-0000-0000-000061690000}"/>
    <cellStyle name="Total 2 10 2 3 2" xfId="9042" xr:uid="{00000000-0005-0000-0000-000062690000}"/>
    <cellStyle name="Total 2 10 2 3 2 2" xfId="17980" xr:uid="{00000000-0005-0000-0000-000063690000}"/>
    <cellStyle name="Total 2 10 2 3 2 2 2" xfId="32812" xr:uid="{00000000-0005-0000-0000-000064690000}"/>
    <cellStyle name="Total 2 10 2 3 2 3" xfId="19562" xr:uid="{00000000-0005-0000-0000-000065690000}"/>
    <cellStyle name="Total 2 10 2 3 3" xfId="15325" xr:uid="{00000000-0005-0000-0000-000066690000}"/>
    <cellStyle name="Total 2 10 2 3 3 2" xfId="30157" xr:uid="{00000000-0005-0000-0000-000067690000}"/>
    <cellStyle name="Total 2 10 2 3 4" xfId="11581" xr:uid="{00000000-0005-0000-0000-000068690000}"/>
    <cellStyle name="Total 2 10 2 3 4 2" xfId="26413" xr:uid="{00000000-0005-0000-0000-000069690000}"/>
    <cellStyle name="Total 2 10 2 4" xfId="2993" xr:uid="{00000000-0005-0000-0000-00006A690000}"/>
    <cellStyle name="Total 2 10 2 4 2" xfId="7073" xr:uid="{00000000-0005-0000-0000-00006B690000}"/>
    <cellStyle name="Total 2 10 2 4 2 2" xfId="16872" xr:uid="{00000000-0005-0000-0000-00006C690000}"/>
    <cellStyle name="Total 2 10 2 4 2 2 2" xfId="31704" xr:uid="{00000000-0005-0000-0000-00006D690000}"/>
    <cellStyle name="Total 2 10 2 4 2 3" xfId="18854" xr:uid="{00000000-0005-0000-0000-00006E690000}"/>
    <cellStyle name="Total 2 10 2 4 3" xfId="13331" xr:uid="{00000000-0005-0000-0000-00006F690000}"/>
    <cellStyle name="Total 2 10 2 4 3 2" xfId="28163" xr:uid="{00000000-0005-0000-0000-000070690000}"/>
    <cellStyle name="Total 2 10 2 4 4" xfId="10527" xr:uid="{00000000-0005-0000-0000-000071690000}"/>
    <cellStyle name="Total 2 10 2 4 4 2" xfId="25359" xr:uid="{00000000-0005-0000-0000-000072690000}"/>
    <cellStyle name="Total 2 10 2 5" xfId="6165" xr:uid="{00000000-0005-0000-0000-000073690000}"/>
    <cellStyle name="Total 2 10 2 5 2" xfId="16352" xr:uid="{00000000-0005-0000-0000-000074690000}"/>
    <cellStyle name="Total 2 10 2 5 2 2" xfId="31184" xr:uid="{00000000-0005-0000-0000-000075690000}"/>
    <cellStyle name="Total 2 10 2 5 3" xfId="18495" xr:uid="{00000000-0005-0000-0000-000076690000}"/>
    <cellStyle name="Total 2 10 2 6" xfId="12422" xr:uid="{00000000-0005-0000-0000-000077690000}"/>
    <cellStyle name="Total 2 10 2 6 2" xfId="27254" xr:uid="{00000000-0005-0000-0000-000078690000}"/>
    <cellStyle name="Total 2 10 2 7" xfId="10004" xr:uid="{00000000-0005-0000-0000-000079690000}"/>
    <cellStyle name="Total 2 10 2 7 2" xfId="24836" xr:uid="{00000000-0005-0000-0000-00007A690000}"/>
    <cellStyle name="Total 2 10 3" xfId="4265" xr:uid="{00000000-0005-0000-0000-00007B690000}"/>
    <cellStyle name="Total 2 10 3 2" xfId="8304" xr:uid="{00000000-0005-0000-0000-00007C690000}"/>
    <cellStyle name="Total 2 10 3 2 2" xfId="17593" xr:uid="{00000000-0005-0000-0000-00007D690000}"/>
    <cellStyle name="Total 2 10 3 2 2 2" xfId="32425" xr:uid="{00000000-0005-0000-0000-00007E690000}"/>
    <cellStyle name="Total 2 10 3 2 3" xfId="19316" xr:uid="{00000000-0005-0000-0000-00007F690000}"/>
    <cellStyle name="Total 2 10 3 3" xfId="14597" xr:uid="{00000000-0005-0000-0000-000080690000}"/>
    <cellStyle name="Total 2 10 3 3 2" xfId="29429" xr:uid="{00000000-0005-0000-0000-000081690000}"/>
    <cellStyle name="Total 2 10 3 4" xfId="11215" xr:uid="{00000000-0005-0000-0000-000082690000}"/>
    <cellStyle name="Total 2 10 3 4 2" xfId="26047" xr:uid="{00000000-0005-0000-0000-000083690000}"/>
    <cellStyle name="Total 2 10 4" xfId="4583" xr:uid="{00000000-0005-0000-0000-000084690000}"/>
    <cellStyle name="Total 2 10 4 2" xfId="8622" xr:uid="{00000000-0005-0000-0000-000085690000}"/>
    <cellStyle name="Total 2 10 4 2 2" xfId="17740" xr:uid="{00000000-0005-0000-0000-000086690000}"/>
    <cellStyle name="Total 2 10 4 2 2 2" xfId="32572" xr:uid="{00000000-0005-0000-0000-000087690000}"/>
    <cellStyle name="Total 2 10 4 2 3" xfId="19402" xr:uid="{00000000-0005-0000-0000-000088690000}"/>
    <cellStyle name="Total 2 10 4 3" xfId="14910" xr:uid="{00000000-0005-0000-0000-000089690000}"/>
    <cellStyle name="Total 2 10 4 3 2" xfId="29742" xr:uid="{00000000-0005-0000-0000-00008A690000}"/>
    <cellStyle name="Total 2 10 4 4" xfId="11346" xr:uid="{00000000-0005-0000-0000-00008B690000}"/>
    <cellStyle name="Total 2 10 4 4 2" xfId="26178" xr:uid="{00000000-0005-0000-0000-00008C690000}"/>
    <cellStyle name="Total 2 10 5" xfId="2573" xr:uid="{00000000-0005-0000-0000-00008D690000}"/>
    <cellStyle name="Total 2 10 5 2" xfId="6679" xr:uid="{00000000-0005-0000-0000-00008E690000}"/>
    <cellStyle name="Total 2 10 5 2 2" xfId="16637" xr:uid="{00000000-0005-0000-0000-00008F690000}"/>
    <cellStyle name="Total 2 10 5 2 2 2" xfId="31469" xr:uid="{00000000-0005-0000-0000-000090690000}"/>
    <cellStyle name="Total 2 10 5 2 3" xfId="18690" xr:uid="{00000000-0005-0000-0000-000091690000}"/>
    <cellStyle name="Total 2 10 5 3" xfId="12911" xr:uid="{00000000-0005-0000-0000-000092690000}"/>
    <cellStyle name="Total 2 10 5 3 2" xfId="27743" xr:uid="{00000000-0005-0000-0000-000093690000}"/>
    <cellStyle name="Total 2 10 5 4" xfId="10287" xr:uid="{00000000-0005-0000-0000-000094690000}"/>
    <cellStyle name="Total 2 10 5 4 2" xfId="25119" xr:uid="{00000000-0005-0000-0000-000095690000}"/>
    <cellStyle name="Total 2 10 6" xfId="5696" xr:uid="{00000000-0005-0000-0000-000096690000}"/>
    <cellStyle name="Total 2 10 6 2" xfId="15931" xr:uid="{00000000-0005-0000-0000-000097690000}"/>
    <cellStyle name="Total 2 10 6 2 2" xfId="30763" xr:uid="{00000000-0005-0000-0000-000098690000}"/>
    <cellStyle name="Total 2 10 6 3" xfId="18332" xr:uid="{00000000-0005-0000-0000-000099690000}"/>
    <cellStyle name="Total 2 10 7" xfId="11951" xr:uid="{00000000-0005-0000-0000-00009A690000}"/>
    <cellStyle name="Total 2 10 7 2" xfId="26783" xr:uid="{00000000-0005-0000-0000-00009B690000}"/>
    <cellStyle name="Total 2 10 8" xfId="9609" xr:uid="{00000000-0005-0000-0000-00009C690000}"/>
    <cellStyle name="Total 2 10 8 2" xfId="19911" xr:uid="{00000000-0005-0000-0000-00009D690000}"/>
    <cellStyle name="Total 2 11" xfId="1591" xr:uid="{00000000-0005-0000-0000-00009E690000}"/>
    <cellStyle name="Total 2 11 2" xfId="2088" xr:uid="{00000000-0005-0000-0000-00009F690000}"/>
    <cellStyle name="Total 2 11 2 2" xfId="3745" xr:uid="{00000000-0005-0000-0000-0000A0690000}"/>
    <cellStyle name="Total 2 11 2 2 2" xfId="7801" xr:uid="{00000000-0005-0000-0000-0000A1690000}"/>
    <cellStyle name="Total 2 11 2 2 2 2" xfId="17345" xr:uid="{00000000-0005-0000-0000-0000A2690000}"/>
    <cellStyle name="Total 2 11 2 2 2 2 2" xfId="32177" xr:uid="{00000000-0005-0000-0000-0000A3690000}"/>
    <cellStyle name="Total 2 11 2 2 2 3" xfId="19139" xr:uid="{00000000-0005-0000-0000-0000A4690000}"/>
    <cellStyle name="Total 2 11 2 2 3" xfId="14080" xr:uid="{00000000-0005-0000-0000-0000A5690000}"/>
    <cellStyle name="Total 2 11 2 2 3 2" xfId="28912" xr:uid="{00000000-0005-0000-0000-0000A6690000}"/>
    <cellStyle name="Total 2 11 2 2 4" xfId="10961" xr:uid="{00000000-0005-0000-0000-0000A7690000}"/>
    <cellStyle name="Total 2 11 2 2 4 2" xfId="25793" xr:uid="{00000000-0005-0000-0000-0000A8690000}"/>
    <cellStyle name="Total 2 11 2 3" xfId="5056" xr:uid="{00000000-0005-0000-0000-0000A9690000}"/>
    <cellStyle name="Total 2 11 2 3 2" xfId="9095" xr:uid="{00000000-0005-0000-0000-0000AA690000}"/>
    <cellStyle name="Total 2 11 2 3 2 2" xfId="18028" xr:uid="{00000000-0005-0000-0000-0000AB690000}"/>
    <cellStyle name="Total 2 11 2 3 2 2 2" xfId="32860" xr:uid="{00000000-0005-0000-0000-0000AC690000}"/>
    <cellStyle name="Total 2 11 2 3 2 3" xfId="19594" xr:uid="{00000000-0005-0000-0000-0000AD690000}"/>
    <cellStyle name="Total 2 11 2 3 3" xfId="15377" xr:uid="{00000000-0005-0000-0000-0000AE690000}"/>
    <cellStyle name="Total 2 11 2 3 3 2" xfId="30209" xr:uid="{00000000-0005-0000-0000-0000AF690000}"/>
    <cellStyle name="Total 2 11 2 3 4" xfId="11628" xr:uid="{00000000-0005-0000-0000-0000B0690000}"/>
    <cellStyle name="Total 2 11 2 3 4 2" xfId="26460" xr:uid="{00000000-0005-0000-0000-0000B1690000}"/>
    <cellStyle name="Total 2 11 2 4" xfId="3046" xr:uid="{00000000-0005-0000-0000-0000B2690000}"/>
    <cellStyle name="Total 2 11 2 4 2" xfId="7121" xr:uid="{00000000-0005-0000-0000-0000B3690000}"/>
    <cellStyle name="Total 2 11 2 4 2 2" xfId="16919" xr:uid="{00000000-0005-0000-0000-0000B4690000}"/>
    <cellStyle name="Total 2 11 2 4 2 2 2" xfId="31751" xr:uid="{00000000-0005-0000-0000-0000B5690000}"/>
    <cellStyle name="Total 2 11 2 4 2 3" xfId="18887" xr:uid="{00000000-0005-0000-0000-0000B6690000}"/>
    <cellStyle name="Total 2 11 2 4 3" xfId="13384" xr:uid="{00000000-0005-0000-0000-0000B7690000}"/>
    <cellStyle name="Total 2 11 2 4 3 2" xfId="28216" xr:uid="{00000000-0005-0000-0000-0000B8690000}"/>
    <cellStyle name="Total 2 11 2 4 4" xfId="10575" xr:uid="{00000000-0005-0000-0000-0000B9690000}"/>
    <cellStyle name="Total 2 11 2 4 4 2" xfId="25407" xr:uid="{00000000-0005-0000-0000-0000BA690000}"/>
    <cellStyle name="Total 2 11 2 5" xfId="6213" xr:uid="{00000000-0005-0000-0000-0000BB690000}"/>
    <cellStyle name="Total 2 11 2 5 2" xfId="16399" xr:uid="{00000000-0005-0000-0000-0000BC690000}"/>
    <cellStyle name="Total 2 11 2 5 2 2" xfId="31231" xr:uid="{00000000-0005-0000-0000-0000BD690000}"/>
    <cellStyle name="Total 2 11 2 5 3" xfId="18528" xr:uid="{00000000-0005-0000-0000-0000BE690000}"/>
    <cellStyle name="Total 2 11 2 6" xfId="12469" xr:uid="{00000000-0005-0000-0000-0000BF690000}"/>
    <cellStyle name="Total 2 11 2 6 2" xfId="27301" xr:uid="{00000000-0005-0000-0000-0000C0690000}"/>
    <cellStyle name="Total 2 11 2 7" xfId="10051" xr:uid="{00000000-0005-0000-0000-0000C1690000}"/>
    <cellStyle name="Total 2 11 2 7 2" xfId="24883" xr:uid="{00000000-0005-0000-0000-0000C2690000}"/>
    <cellStyle name="Total 2 11 3" xfId="4326" xr:uid="{00000000-0005-0000-0000-0000C3690000}"/>
    <cellStyle name="Total 2 11 3 2" xfId="8365" xr:uid="{00000000-0005-0000-0000-0000C4690000}"/>
    <cellStyle name="Total 2 11 3 2 2" xfId="17643" xr:uid="{00000000-0005-0000-0000-0000C5690000}"/>
    <cellStyle name="Total 2 11 3 2 2 2" xfId="32475" xr:uid="{00000000-0005-0000-0000-0000C6690000}"/>
    <cellStyle name="Total 2 11 3 2 3" xfId="19344" xr:uid="{00000000-0005-0000-0000-0000C7690000}"/>
    <cellStyle name="Total 2 11 3 3" xfId="14657" xr:uid="{00000000-0005-0000-0000-0000C8690000}"/>
    <cellStyle name="Total 2 11 3 3 2" xfId="29489" xr:uid="{00000000-0005-0000-0000-0000C9690000}"/>
    <cellStyle name="Total 2 11 3 4" xfId="11253" xr:uid="{00000000-0005-0000-0000-0000CA690000}"/>
    <cellStyle name="Total 2 11 3 4 2" xfId="26085" xr:uid="{00000000-0005-0000-0000-0000CB690000}"/>
    <cellStyle name="Total 2 11 4" xfId="4636" xr:uid="{00000000-0005-0000-0000-0000CC690000}"/>
    <cellStyle name="Total 2 11 4 2" xfId="8675" xr:uid="{00000000-0005-0000-0000-0000CD690000}"/>
    <cellStyle name="Total 2 11 4 2 2" xfId="17788" xr:uid="{00000000-0005-0000-0000-0000CE690000}"/>
    <cellStyle name="Total 2 11 4 2 2 2" xfId="32620" xr:uid="{00000000-0005-0000-0000-0000CF690000}"/>
    <cellStyle name="Total 2 11 4 2 3" xfId="19434" xr:uid="{00000000-0005-0000-0000-0000D0690000}"/>
    <cellStyle name="Total 2 11 4 3" xfId="14962" xr:uid="{00000000-0005-0000-0000-0000D1690000}"/>
    <cellStyle name="Total 2 11 4 3 2" xfId="29794" xr:uid="{00000000-0005-0000-0000-0000D2690000}"/>
    <cellStyle name="Total 2 11 4 4" xfId="11393" xr:uid="{00000000-0005-0000-0000-0000D3690000}"/>
    <cellStyle name="Total 2 11 4 4 2" xfId="26225" xr:uid="{00000000-0005-0000-0000-0000D4690000}"/>
    <cellStyle name="Total 2 11 5" xfId="2626" xr:uid="{00000000-0005-0000-0000-0000D5690000}"/>
    <cellStyle name="Total 2 11 5 2" xfId="6727" xr:uid="{00000000-0005-0000-0000-0000D6690000}"/>
    <cellStyle name="Total 2 11 5 2 2" xfId="16684" xr:uid="{00000000-0005-0000-0000-0000D7690000}"/>
    <cellStyle name="Total 2 11 5 2 2 2" xfId="31516" xr:uid="{00000000-0005-0000-0000-0000D8690000}"/>
    <cellStyle name="Total 2 11 5 2 3" xfId="18723" xr:uid="{00000000-0005-0000-0000-0000D9690000}"/>
    <cellStyle name="Total 2 11 5 3" xfId="12964" xr:uid="{00000000-0005-0000-0000-0000DA690000}"/>
    <cellStyle name="Total 2 11 5 3 2" xfId="27796" xr:uid="{00000000-0005-0000-0000-0000DB690000}"/>
    <cellStyle name="Total 2 11 5 4" xfId="10335" xr:uid="{00000000-0005-0000-0000-0000DC690000}"/>
    <cellStyle name="Total 2 11 5 4 2" xfId="25167" xr:uid="{00000000-0005-0000-0000-0000DD690000}"/>
    <cellStyle name="Total 2 11 6" xfId="5743" xr:uid="{00000000-0005-0000-0000-0000DE690000}"/>
    <cellStyle name="Total 2 11 6 2" xfId="15978" xr:uid="{00000000-0005-0000-0000-0000DF690000}"/>
    <cellStyle name="Total 2 11 6 2 2" xfId="30810" xr:uid="{00000000-0005-0000-0000-0000E0690000}"/>
    <cellStyle name="Total 2 11 6 3" xfId="18364" xr:uid="{00000000-0005-0000-0000-0000E1690000}"/>
    <cellStyle name="Total 2 11 7" xfId="11998" xr:uid="{00000000-0005-0000-0000-0000E2690000}"/>
    <cellStyle name="Total 2 11 7 2" xfId="26830" xr:uid="{00000000-0005-0000-0000-0000E3690000}"/>
    <cellStyle name="Total 2 11 8" xfId="9657" xr:uid="{00000000-0005-0000-0000-0000E4690000}"/>
    <cellStyle name="Total 2 11 8 2" xfId="19958" xr:uid="{00000000-0005-0000-0000-0000E5690000}"/>
    <cellStyle name="Total 2 12" xfId="1641" xr:uid="{00000000-0005-0000-0000-0000E6690000}"/>
    <cellStyle name="Total 2 12 2" xfId="2138" xr:uid="{00000000-0005-0000-0000-0000E7690000}"/>
    <cellStyle name="Total 2 12 2 2" xfId="4137" xr:uid="{00000000-0005-0000-0000-0000E8690000}"/>
    <cellStyle name="Total 2 12 2 2 2" xfId="8181" xr:uid="{00000000-0005-0000-0000-0000E9690000}"/>
    <cellStyle name="Total 2 12 2 2 2 2" xfId="17538" xr:uid="{00000000-0005-0000-0000-0000EA690000}"/>
    <cellStyle name="Total 2 12 2 2 2 2 2" xfId="32370" xr:uid="{00000000-0005-0000-0000-0000EB690000}"/>
    <cellStyle name="Total 2 12 2 2 2 3" xfId="19280" xr:uid="{00000000-0005-0000-0000-0000EC690000}"/>
    <cellStyle name="Total 2 12 2 2 3" xfId="14469" xr:uid="{00000000-0005-0000-0000-0000ED690000}"/>
    <cellStyle name="Total 2 12 2 2 3 2" xfId="29301" xr:uid="{00000000-0005-0000-0000-0000EE690000}"/>
    <cellStyle name="Total 2 12 2 2 4" xfId="11156" xr:uid="{00000000-0005-0000-0000-0000EF690000}"/>
    <cellStyle name="Total 2 12 2 2 4 2" xfId="25988" xr:uid="{00000000-0005-0000-0000-0000F0690000}"/>
    <cellStyle name="Total 2 12 2 3" xfId="5106" xr:uid="{00000000-0005-0000-0000-0000F1690000}"/>
    <cellStyle name="Total 2 12 2 3 2" xfId="9145" xr:uid="{00000000-0005-0000-0000-0000F2690000}"/>
    <cellStyle name="Total 2 12 2 3 2 2" xfId="18073" xr:uid="{00000000-0005-0000-0000-0000F3690000}"/>
    <cellStyle name="Total 2 12 2 3 2 2 2" xfId="32905" xr:uid="{00000000-0005-0000-0000-0000F4690000}"/>
    <cellStyle name="Total 2 12 2 3 2 3" xfId="19626" xr:uid="{00000000-0005-0000-0000-0000F5690000}"/>
    <cellStyle name="Total 2 12 2 3 3" xfId="15426" xr:uid="{00000000-0005-0000-0000-0000F6690000}"/>
    <cellStyle name="Total 2 12 2 3 3 2" xfId="30258" xr:uid="{00000000-0005-0000-0000-0000F7690000}"/>
    <cellStyle name="Total 2 12 2 3 4" xfId="11672" xr:uid="{00000000-0005-0000-0000-0000F8690000}"/>
    <cellStyle name="Total 2 12 2 3 4 2" xfId="26504" xr:uid="{00000000-0005-0000-0000-0000F9690000}"/>
    <cellStyle name="Total 2 12 2 4" xfId="3096" xr:uid="{00000000-0005-0000-0000-0000FA690000}"/>
    <cellStyle name="Total 2 12 2 4 2" xfId="7166" xr:uid="{00000000-0005-0000-0000-0000FB690000}"/>
    <cellStyle name="Total 2 12 2 4 2 2" xfId="16963" xr:uid="{00000000-0005-0000-0000-0000FC690000}"/>
    <cellStyle name="Total 2 12 2 4 2 2 2" xfId="31795" xr:uid="{00000000-0005-0000-0000-0000FD690000}"/>
    <cellStyle name="Total 2 12 2 4 2 3" xfId="18920" xr:uid="{00000000-0005-0000-0000-0000FE690000}"/>
    <cellStyle name="Total 2 12 2 4 3" xfId="13434" xr:uid="{00000000-0005-0000-0000-0000FF690000}"/>
    <cellStyle name="Total 2 12 2 4 3 2" xfId="28266" xr:uid="{00000000-0005-0000-0000-0000006A0000}"/>
    <cellStyle name="Total 2 12 2 4 4" xfId="10620" xr:uid="{00000000-0005-0000-0000-0000016A0000}"/>
    <cellStyle name="Total 2 12 2 4 4 2" xfId="25452" xr:uid="{00000000-0005-0000-0000-0000026A0000}"/>
    <cellStyle name="Total 2 12 2 5" xfId="6258" xr:uid="{00000000-0005-0000-0000-0000036A0000}"/>
    <cellStyle name="Total 2 12 2 5 2" xfId="16443" xr:uid="{00000000-0005-0000-0000-0000046A0000}"/>
    <cellStyle name="Total 2 12 2 5 2 2" xfId="31275" xr:uid="{00000000-0005-0000-0000-0000056A0000}"/>
    <cellStyle name="Total 2 12 2 5 3" xfId="18561" xr:uid="{00000000-0005-0000-0000-0000066A0000}"/>
    <cellStyle name="Total 2 12 2 6" xfId="12513" xr:uid="{00000000-0005-0000-0000-0000076A0000}"/>
    <cellStyle name="Total 2 12 2 6 2" xfId="27345" xr:uid="{00000000-0005-0000-0000-0000086A0000}"/>
    <cellStyle name="Total 2 12 2 7" xfId="10095" xr:uid="{00000000-0005-0000-0000-0000096A0000}"/>
    <cellStyle name="Total 2 12 2 7 2" xfId="24927" xr:uid="{00000000-0005-0000-0000-00000A6A0000}"/>
    <cellStyle name="Total 2 12 3" xfId="3477" xr:uid="{00000000-0005-0000-0000-00000B6A0000}"/>
    <cellStyle name="Total 2 12 3 2" xfId="7539" xr:uid="{00000000-0005-0000-0000-00000C6A0000}"/>
    <cellStyle name="Total 2 12 3 2 2" xfId="17207" xr:uid="{00000000-0005-0000-0000-00000D6A0000}"/>
    <cellStyle name="Total 2 12 3 2 2 2" xfId="32039" xr:uid="{00000000-0005-0000-0000-00000E6A0000}"/>
    <cellStyle name="Total 2 12 3 2 3" xfId="19045" xr:uid="{00000000-0005-0000-0000-00000F6A0000}"/>
    <cellStyle name="Total 2 12 3 3" xfId="13814" xr:uid="{00000000-0005-0000-0000-0000106A0000}"/>
    <cellStyle name="Total 2 12 3 3 2" xfId="28646" xr:uid="{00000000-0005-0000-0000-0000116A0000}"/>
    <cellStyle name="Total 2 12 3 4" xfId="10825" xr:uid="{00000000-0005-0000-0000-0000126A0000}"/>
    <cellStyle name="Total 2 12 3 4 2" xfId="25657" xr:uid="{00000000-0005-0000-0000-0000136A0000}"/>
    <cellStyle name="Total 2 12 4" xfId="4686" xr:uid="{00000000-0005-0000-0000-0000146A0000}"/>
    <cellStyle name="Total 2 12 4 2" xfId="8725" xr:uid="{00000000-0005-0000-0000-0000156A0000}"/>
    <cellStyle name="Total 2 12 4 2 2" xfId="17833" xr:uid="{00000000-0005-0000-0000-0000166A0000}"/>
    <cellStyle name="Total 2 12 4 2 2 2" xfId="32665" xr:uid="{00000000-0005-0000-0000-0000176A0000}"/>
    <cellStyle name="Total 2 12 4 2 3" xfId="19466" xr:uid="{00000000-0005-0000-0000-0000186A0000}"/>
    <cellStyle name="Total 2 12 4 3" xfId="15011" xr:uid="{00000000-0005-0000-0000-0000196A0000}"/>
    <cellStyle name="Total 2 12 4 3 2" xfId="29843" xr:uid="{00000000-0005-0000-0000-00001A6A0000}"/>
    <cellStyle name="Total 2 12 4 4" xfId="11437" xr:uid="{00000000-0005-0000-0000-00001B6A0000}"/>
    <cellStyle name="Total 2 12 4 4 2" xfId="26269" xr:uid="{00000000-0005-0000-0000-00001C6A0000}"/>
    <cellStyle name="Total 2 12 5" xfId="2676" xr:uid="{00000000-0005-0000-0000-00001D6A0000}"/>
    <cellStyle name="Total 2 12 5 2" xfId="6772" xr:uid="{00000000-0005-0000-0000-00001E6A0000}"/>
    <cellStyle name="Total 2 12 5 2 2" xfId="16728" xr:uid="{00000000-0005-0000-0000-00001F6A0000}"/>
    <cellStyle name="Total 2 12 5 2 2 2" xfId="31560" xr:uid="{00000000-0005-0000-0000-0000206A0000}"/>
    <cellStyle name="Total 2 12 5 2 3" xfId="18756" xr:uid="{00000000-0005-0000-0000-0000216A0000}"/>
    <cellStyle name="Total 2 12 5 3" xfId="13014" xr:uid="{00000000-0005-0000-0000-0000226A0000}"/>
    <cellStyle name="Total 2 12 5 3 2" xfId="27846" xr:uid="{00000000-0005-0000-0000-0000236A0000}"/>
    <cellStyle name="Total 2 12 5 4" xfId="10380" xr:uid="{00000000-0005-0000-0000-0000246A0000}"/>
    <cellStyle name="Total 2 12 5 4 2" xfId="25212" xr:uid="{00000000-0005-0000-0000-0000256A0000}"/>
    <cellStyle name="Total 2 12 6" xfId="5788" xr:uid="{00000000-0005-0000-0000-0000266A0000}"/>
    <cellStyle name="Total 2 12 6 2" xfId="16022" xr:uid="{00000000-0005-0000-0000-0000276A0000}"/>
    <cellStyle name="Total 2 12 6 2 2" xfId="30854" xr:uid="{00000000-0005-0000-0000-0000286A0000}"/>
    <cellStyle name="Total 2 12 6 3" xfId="18397" xr:uid="{00000000-0005-0000-0000-0000296A0000}"/>
    <cellStyle name="Total 2 12 7" xfId="12042" xr:uid="{00000000-0005-0000-0000-00002A6A0000}"/>
    <cellStyle name="Total 2 12 7 2" xfId="26874" xr:uid="{00000000-0005-0000-0000-00002B6A0000}"/>
    <cellStyle name="Total 2 12 8" xfId="9702" xr:uid="{00000000-0005-0000-0000-00002C6A0000}"/>
    <cellStyle name="Total 2 12 8 2" xfId="20002" xr:uid="{00000000-0005-0000-0000-00002D6A0000}"/>
    <cellStyle name="Total 2 13" xfId="1792" xr:uid="{00000000-0005-0000-0000-00002E6A0000}"/>
    <cellStyle name="Total 2 13 2" xfId="4019" xr:uid="{00000000-0005-0000-0000-00002F6A0000}"/>
    <cellStyle name="Total 2 13 2 2" xfId="8066" xr:uid="{00000000-0005-0000-0000-0000306A0000}"/>
    <cellStyle name="Total 2 13 2 2 2" xfId="17478" xr:uid="{00000000-0005-0000-0000-0000316A0000}"/>
    <cellStyle name="Total 2 13 2 2 2 2" xfId="32310" xr:uid="{00000000-0005-0000-0000-0000326A0000}"/>
    <cellStyle name="Total 2 13 2 2 3" xfId="19236" xr:uid="{00000000-0005-0000-0000-0000336A0000}"/>
    <cellStyle name="Total 2 13 2 3" xfId="14351" xr:uid="{00000000-0005-0000-0000-0000346A0000}"/>
    <cellStyle name="Total 2 13 2 3 2" xfId="29183" xr:uid="{00000000-0005-0000-0000-0000356A0000}"/>
    <cellStyle name="Total 2 13 2 4" xfId="11094" xr:uid="{00000000-0005-0000-0000-0000366A0000}"/>
    <cellStyle name="Total 2 13 2 4 2" xfId="25926" xr:uid="{00000000-0005-0000-0000-0000376A0000}"/>
    <cellStyle name="Total 2 13 3" xfId="4770" xr:uid="{00000000-0005-0000-0000-0000386A0000}"/>
    <cellStyle name="Total 2 13 3 2" xfId="8809" xr:uid="{00000000-0005-0000-0000-0000396A0000}"/>
    <cellStyle name="Total 2 13 3 2 2" xfId="17881" xr:uid="{00000000-0005-0000-0000-00003A6A0000}"/>
    <cellStyle name="Total 2 13 3 2 2 2" xfId="32713" xr:uid="{00000000-0005-0000-0000-00003B6A0000}"/>
    <cellStyle name="Total 2 13 3 2 3" xfId="19498" xr:uid="{00000000-0005-0000-0000-00003C6A0000}"/>
    <cellStyle name="Total 2 13 3 3" xfId="15094" xr:uid="{00000000-0005-0000-0000-00003D6A0000}"/>
    <cellStyle name="Total 2 13 3 3 2" xfId="29926" xr:uid="{00000000-0005-0000-0000-00003E6A0000}"/>
    <cellStyle name="Total 2 13 3 4" xfId="11484" xr:uid="{00000000-0005-0000-0000-00003F6A0000}"/>
    <cellStyle name="Total 2 13 3 4 2" xfId="26316" xr:uid="{00000000-0005-0000-0000-0000406A0000}"/>
    <cellStyle name="Total 2 13 4" xfId="2760" xr:uid="{00000000-0005-0000-0000-0000416A0000}"/>
    <cellStyle name="Total 2 13 4 2" xfId="6851" xr:uid="{00000000-0005-0000-0000-0000426A0000}"/>
    <cellStyle name="Total 2 13 4 2 2" xfId="16775" xr:uid="{00000000-0005-0000-0000-0000436A0000}"/>
    <cellStyle name="Total 2 13 4 2 2 2" xfId="31607" xr:uid="{00000000-0005-0000-0000-0000446A0000}"/>
    <cellStyle name="Total 2 13 4 2 3" xfId="18789" xr:uid="{00000000-0005-0000-0000-0000456A0000}"/>
    <cellStyle name="Total 2 13 4 3" xfId="13098" xr:uid="{00000000-0005-0000-0000-0000466A0000}"/>
    <cellStyle name="Total 2 13 4 3 2" xfId="27930" xr:uid="{00000000-0005-0000-0000-0000476A0000}"/>
    <cellStyle name="Total 2 13 4 4" xfId="10428" xr:uid="{00000000-0005-0000-0000-0000486A0000}"/>
    <cellStyle name="Total 2 13 4 4 2" xfId="25260" xr:uid="{00000000-0005-0000-0000-0000496A0000}"/>
    <cellStyle name="Total 2 13 5" xfId="5924" xr:uid="{00000000-0005-0000-0000-00004A6A0000}"/>
    <cellStyle name="Total 2 13 5 2" xfId="16116" xr:uid="{00000000-0005-0000-0000-00004B6A0000}"/>
    <cellStyle name="Total 2 13 5 2 2" xfId="30948" xr:uid="{00000000-0005-0000-0000-00004C6A0000}"/>
    <cellStyle name="Total 2 13 5 3" xfId="18431" xr:uid="{00000000-0005-0000-0000-00004D6A0000}"/>
    <cellStyle name="Total 2 13 6" xfId="12186" xr:uid="{00000000-0005-0000-0000-00004E6A0000}"/>
    <cellStyle name="Total 2 13 6 2" xfId="27018" xr:uid="{00000000-0005-0000-0000-00004F6A0000}"/>
    <cellStyle name="Total 2 13 7" xfId="9782" xr:uid="{00000000-0005-0000-0000-0000506A0000}"/>
    <cellStyle name="Total 2 13 7 2" xfId="24739" xr:uid="{00000000-0005-0000-0000-0000516A0000}"/>
    <cellStyle name="Total 2 14" xfId="2174" xr:uid="{00000000-0005-0000-0000-0000526A0000}"/>
    <cellStyle name="Total 2 14 2" xfId="3931" xr:uid="{00000000-0005-0000-0000-0000536A0000}"/>
    <cellStyle name="Total 2 14 2 2" xfId="7981" xr:uid="{00000000-0005-0000-0000-0000546A0000}"/>
    <cellStyle name="Total 2 14 2 2 2" xfId="17436" xr:uid="{00000000-0005-0000-0000-0000556A0000}"/>
    <cellStyle name="Total 2 14 2 2 2 2" xfId="32268" xr:uid="{00000000-0005-0000-0000-0000566A0000}"/>
    <cellStyle name="Total 2 14 2 2 3" xfId="19205" xr:uid="{00000000-0005-0000-0000-0000576A0000}"/>
    <cellStyle name="Total 2 14 2 3" xfId="14264" xr:uid="{00000000-0005-0000-0000-0000586A0000}"/>
    <cellStyle name="Total 2 14 2 3 2" xfId="29096" xr:uid="{00000000-0005-0000-0000-0000596A0000}"/>
    <cellStyle name="Total 2 14 2 4" xfId="11051" xr:uid="{00000000-0005-0000-0000-00005A6A0000}"/>
    <cellStyle name="Total 2 14 2 4 2" xfId="25883" xr:uid="{00000000-0005-0000-0000-00005B6A0000}"/>
    <cellStyle name="Total 2 14 3" xfId="5142" xr:uid="{00000000-0005-0000-0000-00005C6A0000}"/>
    <cellStyle name="Total 2 14 3 2" xfId="9181" xr:uid="{00000000-0005-0000-0000-00005D6A0000}"/>
    <cellStyle name="Total 2 14 3 2 2" xfId="18104" xr:uid="{00000000-0005-0000-0000-00005E6A0000}"/>
    <cellStyle name="Total 2 14 3 2 2 2" xfId="32936" xr:uid="{00000000-0005-0000-0000-00005F6A0000}"/>
    <cellStyle name="Total 2 14 3 2 3" xfId="19655" xr:uid="{00000000-0005-0000-0000-0000606A0000}"/>
    <cellStyle name="Total 2 14 3 3" xfId="15460" xr:uid="{00000000-0005-0000-0000-0000616A0000}"/>
    <cellStyle name="Total 2 14 3 3 2" xfId="30292" xr:uid="{00000000-0005-0000-0000-0000626A0000}"/>
    <cellStyle name="Total 2 14 3 4" xfId="11701" xr:uid="{00000000-0005-0000-0000-0000636A0000}"/>
    <cellStyle name="Total 2 14 3 4 2" xfId="26533" xr:uid="{00000000-0005-0000-0000-0000646A0000}"/>
    <cellStyle name="Total 2 14 4" xfId="4172" xr:uid="{00000000-0005-0000-0000-0000656A0000}"/>
    <cellStyle name="Total 2 14 4 2" xfId="8213" xr:uid="{00000000-0005-0000-0000-0000666A0000}"/>
    <cellStyle name="Total 2 14 4 2 2" xfId="17560" xr:uid="{00000000-0005-0000-0000-0000676A0000}"/>
    <cellStyle name="Total 2 14 4 2 2 2" xfId="32392" xr:uid="{00000000-0005-0000-0000-0000686A0000}"/>
    <cellStyle name="Total 2 14 4 2 3" xfId="19298" xr:uid="{00000000-0005-0000-0000-0000696A0000}"/>
    <cellStyle name="Total 2 14 4 3" xfId="14504" xr:uid="{00000000-0005-0000-0000-00006A6A0000}"/>
    <cellStyle name="Total 2 14 4 3 2" xfId="29336" xr:uid="{00000000-0005-0000-0000-00006B6A0000}"/>
    <cellStyle name="Total 2 14 4 4" xfId="11180" xr:uid="{00000000-0005-0000-0000-00006C6A0000}"/>
    <cellStyle name="Total 2 14 4 4 2" xfId="26012" xr:uid="{00000000-0005-0000-0000-00006D6A0000}"/>
    <cellStyle name="Total 2 14 5" xfId="6288" xr:uid="{00000000-0005-0000-0000-00006E6A0000}"/>
    <cellStyle name="Total 2 14 5 2" xfId="16472" xr:uid="{00000000-0005-0000-0000-00006F6A0000}"/>
    <cellStyle name="Total 2 14 5 2 2" xfId="31304" xr:uid="{00000000-0005-0000-0000-0000706A0000}"/>
    <cellStyle name="Total 2 14 5 3" xfId="18591" xr:uid="{00000000-0005-0000-0000-0000716A0000}"/>
    <cellStyle name="Total 2 14 6" xfId="12542" xr:uid="{00000000-0005-0000-0000-0000726A0000}"/>
    <cellStyle name="Total 2 14 6 2" xfId="27374" xr:uid="{00000000-0005-0000-0000-0000736A0000}"/>
    <cellStyle name="Total 2 14 7" xfId="10124" xr:uid="{00000000-0005-0000-0000-0000746A0000}"/>
    <cellStyle name="Total 2 14 7 2" xfId="24956" xr:uid="{00000000-0005-0000-0000-0000756A0000}"/>
    <cellStyle name="Total 2 15" xfId="3567" xr:uid="{00000000-0005-0000-0000-0000766A0000}"/>
    <cellStyle name="Total 2 15 2" xfId="7629" xr:uid="{00000000-0005-0000-0000-0000776A0000}"/>
    <cellStyle name="Total 2 15 2 2" xfId="17261" xr:uid="{00000000-0005-0000-0000-0000786A0000}"/>
    <cellStyle name="Total 2 15 2 2 2" xfId="32093" xr:uid="{00000000-0005-0000-0000-0000796A0000}"/>
    <cellStyle name="Total 2 15 2 3" xfId="19084" xr:uid="{00000000-0005-0000-0000-00007A6A0000}"/>
    <cellStyle name="Total 2 15 3" xfId="13903" xr:uid="{00000000-0005-0000-0000-00007B6A0000}"/>
    <cellStyle name="Total 2 15 3 2" xfId="28735" xr:uid="{00000000-0005-0000-0000-00007C6A0000}"/>
    <cellStyle name="Total 2 15 4" xfId="10878" xr:uid="{00000000-0005-0000-0000-00007D6A0000}"/>
    <cellStyle name="Total 2 15 4 2" xfId="25710" xr:uid="{00000000-0005-0000-0000-00007E6A0000}"/>
    <cellStyle name="Total 2 16" xfId="3310" xr:uid="{00000000-0005-0000-0000-00007F6A0000}"/>
    <cellStyle name="Total 2 16 2" xfId="7374" xr:uid="{00000000-0005-0000-0000-0000806A0000}"/>
    <cellStyle name="Total 2 16 2 2" xfId="17109" xr:uid="{00000000-0005-0000-0000-0000816A0000}"/>
    <cellStyle name="Total 2 16 2 2 2" xfId="31941" xr:uid="{00000000-0005-0000-0000-0000826A0000}"/>
    <cellStyle name="Total 2 16 2 3" xfId="18992" xr:uid="{00000000-0005-0000-0000-0000836A0000}"/>
    <cellStyle name="Total 2 16 3" xfId="13647" xr:uid="{00000000-0005-0000-0000-0000846A0000}"/>
    <cellStyle name="Total 2 16 3 2" xfId="28479" xr:uid="{00000000-0005-0000-0000-0000856A0000}"/>
    <cellStyle name="Total 2 16 4" xfId="10732" xr:uid="{00000000-0005-0000-0000-0000866A0000}"/>
    <cellStyle name="Total 2 16 4 2" xfId="25564" xr:uid="{00000000-0005-0000-0000-0000876A0000}"/>
    <cellStyle name="Total 2 17" xfId="2334" xr:uid="{00000000-0005-0000-0000-0000886A0000}"/>
    <cellStyle name="Total 2 17 2" xfId="6446" xr:uid="{00000000-0005-0000-0000-0000896A0000}"/>
    <cellStyle name="Total 2 17 2 2" xfId="16538" xr:uid="{00000000-0005-0000-0000-00008A6A0000}"/>
    <cellStyle name="Total 2 17 2 2 2" xfId="31370" xr:uid="{00000000-0005-0000-0000-00008B6A0000}"/>
    <cellStyle name="Total 2 17 2 3" xfId="18626" xr:uid="{00000000-0005-0000-0000-00008C6A0000}"/>
    <cellStyle name="Total 2 17 3" xfId="12674" xr:uid="{00000000-0005-0000-0000-00008D6A0000}"/>
    <cellStyle name="Total 2 17 3 2" xfId="27506" xr:uid="{00000000-0005-0000-0000-00008E6A0000}"/>
    <cellStyle name="Total 2 17 4" xfId="10189" xr:uid="{00000000-0005-0000-0000-00008F6A0000}"/>
    <cellStyle name="Total 2 17 4 2" xfId="25021" xr:uid="{00000000-0005-0000-0000-0000906A0000}"/>
    <cellStyle name="Total 2 18" xfId="5296" xr:uid="{00000000-0005-0000-0000-0000916A0000}"/>
    <cellStyle name="Total 2 18 2" xfId="9304" xr:uid="{00000000-0005-0000-0000-0000926A0000}"/>
    <cellStyle name="Total 2 18 2 2" xfId="18171" xr:uid="{00000000-0005-0000-0000-0000936A0000}"/>
    <cellStyle name="Total 2 18 2 2 2" xfId="33003" xr:uid="{00000000-0005-0000-0000-0000946A0000}"/>
    <cellStyle name="Total 2 18 2 3" xfId="19690" xr:uid="{00000000-0005-0000-0000-0000956A0000}"/>
    <cellStyle name="Total 2 18 3" xfId="15612" xr:uid="{00000000-0005-0000-0000-0000966A0000}"/>
    <cellStyle name="Total 2 18 3 2" xfId="30444" xr:uid="{00000000-0005-0000-0000-0000976A0000}"/>
    <cellStyle name="Total 2 19" xfId="5454" xr:uid="{00000000-0005-0000-0000-0000986A0000}"/>
    <cellStyle name="Total 2 19 2" xfId="15690" xr:uid="{00000000-0005-0000-0000-0000996A0000}"/>
    <cellStyle name="Total 2 19 2 2" xfId="30522" xr:uid="{00000000-0005-0000-0000-00009A6A0000}"/>
    <cellStyle name="Total 2 19 3" xfId="18267" xr:uid="{00000000-0005-0000-0000-00009B6A0000}"/>
    <cellStyle name="Total 2 2" xfId="1268" xr:uid="{00000000-0005-0000-0000-00009C6A0000}"/>
    <cellStyle name="Total 2 2 10" xfId="2335" xr:uid="{00000000-0005-0000-0000-00009D6A0000}"/>
    <cellStyle name="Total 2 2 10 2" xfId="6447" xr:uid="{00000000-0005-0000-0000-00009E6A0000}"/>
    <cellStyle name="Total 2 2 10 2 2" xfId="16539" xr:uid="{00000000-0005-0000-0000-00009F6A0000}"/>
    <cellStyle name="Total 2 2 10 2 2 2" xfId="31371" xr:uid="{00000000-0005-0000-0000-0000A06A0000}"/>
    <cellStyle name="Total 2 2 10 2 3" xfId="18627" xr:uid="{00000000-0005-0000-0000-0000A16A0000}"/>
    <cellStyle name="Total 2 2 10 3" xfId="12675" xr:uid="{00000000-0005-0000-0000-0000A26A0000}"/>
    <cellStyle name="Total 2 2 10 3 2" xfId="27507" xr:uid="{00000000-0005-0000-0000-0000A36A0000}"/>
    <cellStyle name="Total 2 2 10 4" xfId="10190" xr:uid="{00000000-0005-0000-0000-0000A46A0000}"/>
    <cellStyle name="Total 2 2 10 4 2" xfId="25022" xr:uid="{00000000-0005-0000-0000-0000A56A0000}"/>
    <cellStyle name="Total 2 2 11" xfId="5297" xr:uid="{00000000-0005-0000-0000-0000A66A0000}"/>
    <cellStyle name="Total 2 2 11 2" xfId="9305" xr:uid="{00000000-0005-0000-0000-0000A76A0000}"/>
    <cellStyle name="Total 2 2 11 2 2" xfId="18172" xr:uid="{00000000-0005-0000-0000-0000A86A0000}"/>
    <cellStyle name="Total 2 2 11 2 2 2" xfId="33004" xr:uid="{00000000-0005-0000-0000-0000A96A0000}"/>
    <cellStyle name="Total 2 2 11 2 3" xfId="19691" xr:uid="{00000000-0005-0000-0000-0000AA6A0000}"/>
    <cellStyle name="Total 2 2 11 3" xfId="15613" xr:uid="{00000000-0005-0000-0000-0000AB6A0000}"/>
    <cellStyle name="Total 2 2 11 3 2" xfId="30445" xr:uid="{00000000-0005-0000-0000-0000AC6A0000}"/>
    <cellStyle name="Total 2 2 12" xfId="5455" xr:uid="{00000000-0005-0000-0000-0000AD6A0000}"/>
    <cellStyle name="Total 2 2 12 2" xfId="15691" xr:uid="{00000000-0005-0000-0000-0000AE6A0000}"/>
    <cellStyle name="Total 2 2 12 2 2" xfId="30523" xr:uid="{00000000-0005-0000-0000-0000AF6A0000}"/>
    <cellStyle name="Total 2 2 12 3" xfId="18268" xr:uid="{00000000-0005-0000-0000-0000B06A0000}"/>
    <cellStyle name="Total 2 2 13" xfId="9336" xr:uid="{00000000-0005-0000-0000-0000B16A0000}"/>
    <cellStyle name="Total 2 2 13 2" xfId="24642" xr:uid="{00000000-0005-0000-0000-0000B26A0000}"/>
    <cellStyle name="Total 2 2 14" xfId="5325" xr:uid="{00000000-0005-0000-0000-0000B36A0000}"/>
    <cellStyle name="Total 2 2 14 2" xfId="18199" xr:uid="{00000000-0005-0000-0000-0000B46A0000}"/>
    <cellStyle name="Total 2 2 2" xfId="1367" xr:uid="{00000000-0005-0000-0000-0000B56A0000}"/>
    <cellStyle name="Total 2 2 2 2" xfId="1871" xr:uid="{00000000-0005-0000-0000-0000B66A0000}"/>
    <cellStyle name="Total 2 2 2 2 2" xfId="3518" xr:uid="{00000000-0005-0000-0000-0000B76A0000}"/>
    <cellStyle name="Total 2 2 2 2 2 2" xfId="7580" xr:uid="{00000000-0005-0000-0000-0000B86A0000}"/>
    <cellStyle name="Total 2 2 2 2 2 2 2" xfId="17233" xr:uid="{00000000-0005-0000-0000-0000B96A0000}"/>
    <cellStyle name="Total 2 2 2 2 2 2 2 2" xfId="32065" xr:uid="{00000000-0005-0000-0000-0000BA6A0000}"/>
    <cellStyle name="Total 2 2 2 2 2 2 3" xfId="19062" xr:uid="{00000000-0005-0000-0000-0000BB6A0000}"/>
    <cellStyle name="Total 2 2 2 2 2 3" xfId="13855" xr:uid="{00000000-0005-0000-0000-0000BC6A0000}"/>
    <cellStyle name="Total 2 2 2 2 2 3 2" xfId="28687" xr:uid="{00000000-0005-0000-0000-0000BD6A0000}"/>
    <cellStyle name="Total 2 2 2 2 2 4" xfId="10851" xr:uid="{00000000-0005-0000-0000-0000BE6A0000}"/>
    <cellStyle name="Total 2 2 2 2 2 4 2" xfId="25683" xr:uid="{00000000-0005-0000-0000-0000BF6A0000}"/>
    <cellStyle name="Total 2 2 2 2 3" xfId="4849" xr:uid="{00000000-0005-0000-0000-0000C06A0000}"/>
    <cellStyle name="Total 2 2 2 2 3 2" xfId="8888" xr:uid="{00000000-0005-0000-0000-0000C16A0000}"/>
    <cellStyle name="Total 2 2 2 2 3 2 2" xfId="17929" xr:uid="{00000000-0005-0000-0000-0000C26A0000}"/>
    <cellStyle name="Total 2 2 2 2 3 2 2 2" xfId="32761" xr:uid="{00000000-0005-0000-0000-0000C36A0000}"/>
    <cellStyle name="Total 2 2 2 2 3 2 3" xfId="19531" xr:uid="{00000000-0005-0000-0000-0000C46A0000}"/>
    <cellStyle name="Total 2 2 2 2 3 3" xfId="15173" xr:uid="{00000000-0005-0000-0000-0000C56A0000}"/>
    <cellStyle name="Total 2 2 2 2 3 3 2" xfId="30005" xr:uid="{00000000-0005-0000-0000-0000C66A0000}"/>
    <cellStyle name="Total 2 2 2 2 3 4" xfId="11532" xr:uid="{00000000-0005-0000-0000-0000C76A0000}"/>
    <cellStyle name="Total 2 2 2 2 3 4 2" xfId="26364" xr:uid="{00000000-0005-0000-0000-0000C86A0000}"/>
    <cellStyle name="Total 2 2 2 2 4" xfId="2839" xr:uid="{00000000-0005-0000-0000-0000C96A0000}"/>
    <cellStyle name="Total 2 2 2 2 4 2" xfId="6930" xr:uid="{00000000-0005-0000-0000-0000CA6A0000}"/>
    <cellStyle name="Total 2 2 2 2 4 2 2" xfId="16823" xr:uid="{00000000-0005-0000-0000-0000CB6A0000}"/>
    <cellStyle name="Total 2 2 2 2 4 2 2 2" xfId="31655" xr:uid="{00000000-0005-0000-0000-0000CC6A0000}"/>
    <cellStyle name="Total 2 2 2 2 4 2 3" xfId="18822" xr:uid="{00000000-0005-0000-0000-0000CD6A0000}"/>
    <cellStyle name="Total 2 2 2 2 4 3" xfId="13177" xr:uid="{00000000-0005-0000-0000-0000CE6A0000}"/>
    <cellStyle name="Total 2 2 2 2 4 3 2" xfId="28009" xr:uid="{00000000-0005-0000-0000-0000CF6A0000}"/>
    <cellStyle name="Total 2 2 2 2 4 4" xfId="10476" xr:uid="{00000000-0005-0000-0000-0000D06A0000}"/>
    <cellStyle name="Total 2 2 2 2 4 4 2" xfId="25308" xr:uid="{00000000-0005-0000-0000-0000D16A0000}"/>
    <cellStyle name="Total 2 2 2 2 5" xfId="6003" xr:uid="{00000000-0005-0000-0000-0000D26A0000}"/>
    <cellStyle name="Total 2 2 2 2 5 2" xfId="16195" xr:uid="{00000000-0005-0000-0000-0000D36A0000}"/>
    <cellStyle name="Total 2 2 2 2 5 2 2" xfId="31027" xr:uid="{00000000-0005-0000-0000-0000D46A0000}"/>
    <cellStyle name="Total 2 2 2 2 5 3" xfId="18464" xr:uid="{00000000-0005-0000-0000-0000D56A0000}"/>
    <cellStyle name="Total 2 2 2 2 6" xfId="12265" xr:uid="{00000000-0005-0000-0000-0000D66A0000}"/>
    <cellStyle name="Total 2 2 2 2 6 2" xfId="27097" xr:uid="{00000000-0005-0000-0000-0000D76A0000}"/>
    <cellStyle name="Total 2 2 2 2 7" xfId="9861" xr:uid="{00000000-0005-0000-0000-0000D86A0000}"/>
    <cellStyle name="Total 2 2 2 2 7 2" xfId="24787" xr:uid="{00000000-0005-0000-0000-0000D96A0000}"/>
    <cellStyle name="Total 2 2 2 3" xfId="3720" xr:uid="{00000000-0005-0000-0000-0000DA6A0000}"/>
    <cellStyle name="Total 2 2 2 3 2" xfId="7776" xr:uid="{00000000-0005-0000-0000-0000DB6A0000}"/>
    <cellStyle name="Total 2 2 2 3 2 2" xfId="17333" xr:uid="{00000000-0005-0000-0000-0000DC6A0000}"/>
    <cellStyle name="Total 2 2 2 3 2 2 2" xfId="32165" xr:uid="{00000000-0005-0000-0000-0000DD6A0000}"/>
    <cellStyle name="Total 2 2 2 3 2 3" xfId="19130" xr:uid="{00000000-0005-0000-0000-0000DE6A0000}"/>
    <cellStyle name="Total 2 2 2 3 3" xfId="14055" xr:uid="{00000000-0005-0000-0000-0000DF6A0000}"/>
    <cellStyle name="Total 2 2 2 3 3 2" xfId="28887" xr:uid="{00000000-0005-0000-0000-0000E06A0000}"/>
    <cellStyle name="Total 2 2 2 3 4" xfId="10949" xr:uid="{00000000-0005-0000-0000-0000E16A0000}"/>
    <cellStyle name="Total 2 2 2 3 4 2" xfId="25781" xr:uid="{00000000-0005-0000-0000-0000E26A0000}"/>
    <cellStyle name="Total 2 2 2 4" xfId="4429" xr:uid="{00000000-0005-0000-0000-0000E36A0000}"/>
    <cellStyle name="Total 2 2 2 4 2" xfId="8468" xr:uid="{00000000-0005-0000-0000-0000E46A0000}"/>
    <cellStyle name="Total 2 2 2 4 2 2" xfId="17689" xr:uid="{00000000-0005-0000-0000-0000E56A0000}"/>
    <cellStyle name="Total 2 2 2 4 2 2 2" xfId="32521" xr:uid="{00000000-0005-0000-0000-0000E66A0000}"/>
    <cellStyle name="Total 2 2 2 4 2 3" xfId="19371" xr:uid="{00000000-0005-0000-0000-0000E76A0000}"/>
    <cellStyle name="Total 2 2 2 4 3" xfId="14758" xr:uid="{00000000-0005-0000-0000-0000E86A0000}"/>
    <cellStyle name="Total 2 2 2 4 3 2" xfId="29590" xr:uid="{00000000-0005-0000-0000-0000E96A0000}"/>
    <cellStyle name="Total 2 2 2 4 4" xfId="11297" xr:uid="{00000000-0005-0000-0000-0000EA6A0000}"/>
    <cellStyle name="Total 2 2 2 4 4 2" xfId="26129" xr:uid="{00000000-0005-0000-0000-0000EB6A0000}"/>
    <cellStyle name="Total 2 2 2 5" xfId="2419" xr:uid="{00000000-0005-0000-0000-0000EC6A0000}"/>
    <cellStyle name="Total 2 2 2 5 2" xfId="6531" xr:uid="{00000000-0005-0000-0000-0000ED6A0000}"/>
    <cellStyle name="Total 2 2 2 5 2 2" xfId="16587" xr:uid="{00000000-0005-0000-0000-0000EE6A0000}"/>
    <cellStyle name="Total 2 2 2 5 2 2 2" xfId="31419" xr:uid="{00000000-0005-0000-0000-0000EF6A0000}"/>
    <cellStyle name="Total 2 2 2 5 2 3" xfId="18659" xr:uid="{00000000-0005-0000-0000-0000F06A0000}"/>
    <cellStyle name="Total 2 2 2 5 3" xfId="12758" xr:uid="{00000000-0005-0000-0000-0000F16A0000}"/>
    <cellStyle name="Total 2 2 2 5 3 2" xfId="27590" xr:uid="{00000000-0005-0000-0000-0000F26A0000}"/>
    <cellStyle name="Total 2 2 2 5 4" xfId="10237" xr:uid="{00000000-0005-0000-0000-0000F36A0000}"/>
    <cellStyle name="Total 2 2 2 5 4 2" xfId="25069" xr:uid="{00000000-0005-0000-0000-0000F46A0000}"/>
    <cellStyle name="Total 2 2 2 6" xfId="5544" xr:uid="{00000000-0005-0000-0000-0000F56A0000}"/>
    <cellStyle name="Total 2 2 2 6 2" xfId="15779" xr:uid="{00000000-0005-0000-0000-0000F66A0000}"/>
    <cellStyle name="Total 2 2 2 6 2 2" xfId="30611" xr:uid="{00000000-0005-0000-0000-0000F76A0000}"/>
    <cellStyle name="Total 2 2 2 6 3" xfId="18301" xr:uid="{00000000-0005-0000-0000-0000F86A0000}"/>
    <cellStyle name="Total 2 2 2 7" xfId="11794" xr:uid="{00000000-0005-0000-0000-0000F96A0000}"/>
    <cellStyle name="Total 2 2 2 7 2" xfId="26626" xr:uid="{00000000-0005-0000-0000-0000FA6A0000}"/>
    <cellStyle name="Total 2 2 2 8" xfId="9465" xr:uid="{00000000-0005-0000-0000-0000FB6A0000}"/>
    <cellStyle name="Total 2 2 2 8 2" xfId="19769" xr:uid="{00000000-0005-0000-0000-0000FC6A0000}"/>
    <cellStyle name="Total 2 2 3" xfId="1539" xr:uid="{00000000-0005-0000-0000-0000FD6A0000}"/>
    <cellStyle name="Total 2 2 3 2" xfId="2036" xr:uid="{00000000-0005-0000-0000-0000FE6A0000}"/>
    <cellStyle name="Total 2 2 3 2 2" xfId="3731" xr:uid="{00000000-0005-0000-0000-0000FF6A0000}"/>
    <cellStyle name="Total 2 2 3 2 2 2" xfId="7787" xr:uid="{00000000-0005-0000-0000-0000006B0000}"/>
    <cellStyle name="Total 2 2 3 2 2 2 2" xfId="17340" xr:uid="{00000000-0005-0000-0000-0000016B0000}"/>
    <cellStyle name="Total 2 2 3 2 2 2 2 2" xfId="32172" xr:uid="{00000000-0005-0000-0000-0000026B0000}"/>
    <cellStyle name="Total 2 2 3 2 2 2 3" xfId="19136" xr:uid="{00000000-0005-0000-0000-0000036B0000}"/>
    <cellStyle name="Total 2 2 3 2 2 3" xfId="14066" xr:uid="{00000000-0005-0000-0000-0000046B0000}"/>
    <cellStyle name="Total 2 2 3 2 2 3 2" xfId="28898" xr:uid="{00000000-0005-0000-0000-0000056B0000}"/>
    <cellStyle name="Total 2 2 3 2 2 4" xfId="10956" xr:uid="{00000000-0005-0000-0000-0000066B0000}"/>
    <cellStyle name="Total 2 2 3 2 2 4 2" xfId="25788" xr:uid="{00000000-0005-0000-0000-0000076B0000}"/>
    <cellStyle name="Total 2 2 3 2 3" xfId="5004" xr:uid="{00000000-0005-0000-0000-0000086B0000}"/>
    <cellStyle name="Total 2 2 3 2 3 2" xfId="9043" xr:uid="{00000000-0005-0000-0000-0000096B0000}"/>
    <cellStyle name="Total 2 2 3 2 3 2 2" xfId="17981" xr:uid="{00000000-0005-0000-0000-00000A6B0000}"/>
    <cellStyle name="Total 2 2 3 2 3 2 2 2" xfId="32813" xr:uid="{00000000-0005-0000-0000-00000B6B0000}"/>
    <cellStyle name="Total 2 2 3 2 3 2 3" xfId="19563" xr:uid="{00000000-0005-0000-0000-00000C6B0000}"/>
    <cellStyle name="Total 2 2 3 2 3 3" xfId="15326" xr:uid="{00000000-0005-0000-0000-00000D6B0000}"/>
    <cellStyle name="Total 2 2 3 2 3 3 2" xfId="30158" xr:uid="{00000000-0005-0000-0000-00000E6B0000}"/>
    <cellStyle name="Total 2 2 3 2 3 4" xfId="11582" xr:uid="{00000000-0005-0000-0000-00000F6B0000}"/>
    <cellStyle name="Total 2 2 3 2 3 4 2" xfId="26414" xr:uid="{00000000-0005-0000-0000-0000106B0000}"/>
    <cellStyle name="Total 2 2 3 2 4" xfId="2994" xr:uid="{00000000-0005-0000-0000-0000116B0000}"/>
    <cellStyle name="Total 2 2 3 2 4 2" xfId="7074" xr:uid="{00000000-0005-0000-0000-0000126B0000}"/>
    <cellStyle name="Total 2 2 3 2 4 2 2" xfId="16873" xr:uid="{00000000-0005-0000-0000-0000136B0000}"/>
    <cellStyle name="Total 2 2 3 2 4 2 2 2" xfId="31705" xr:uid="{00000000-0005-0000-0000-0000146B0000}"/>
    <cellStyle name="Total 2 2 3 2 4 2 3" xfId="18855" xr:uid="{00000000-0005-0000-0000-0000156B0000}"/>
    <cellStyle name="Total 2 2 3 2 4 3" xfId="13332" xr:uid="{00000000-0005-0000-0000-0000166B0000}"/>
    <cellStyle name="Total 2 2 3 2 4 3 2" xfId="28164" xr:uid="{00000000-0005-0000-0000-0000176B0000}"/>
    <cellStyle name="Total 2 2 3 2 4 4" xfId="10528" xr:uid="{00000000-0005-0000-0000-0000186B0000}"/>
    <cellStyle name="Total 2 2 3 2 4 4 2" xfId="25360" xr:uid="{00000000-0005-0000-0000-0000196B0000}"/>
    <cellStyle name="Total 2 2 3 2 5" xfId="6166" xr:uid="{00000000-0005-0000-0000-00001A6B0000}"/>
    <cellStyle name="Total 2 2 3 2 5 2" xfId="16353" xr:uid="{00000000-0005-0000-0000-00001B6B0000}"/>
    <cellStyle name="Total 2 2 3 2 5 2 2" xfId="31185" xr:uid="{00000000-0005-0000-0000-00001C6B0000}"/>
    <cellStyle name="Total 2 2 3 2 5 3" xfId="18496" xr:uid="{00000000-0005-0000-0000-00001D6B0000}"/>
    <cellStyle name="Total 2 2 3 2 6" xfId="12423" xr:uid="{00000000-0005-0000-0000-00001E6B0000}"/>
    <cellStyle name="Total 2 2 3 2 6 2" xfId="27255" xr:uid="{00000000-0005-0000-0000-00001F6B0000}"/>
    <cellStyle name="Total 2 2 3 2 7" xfId="10005" xr:uid="{00000000-0005-0000-0000-0000206B0000}"/>
    <cellStyle name="Total 2 2 3 2 7 2" xfId="24837" xr:uid="{00000000-0005-0000-0000-0000216B0000}"/>
    <cellStyle name="Total 2 2 3 3" xfId="3994" xr:uid="{00000000-0005-0000-0000-0000226B0000}"/>
    <cellStyle name="Total 2 2 3 3 2" xfId="8041" xr:uid="{00000000-0005-0000-0000-0000236B0000}"/>
    <cellStyle name="Total 2 2 3 3 2 2" xfId="17462" xr:uid="{00000000-0005-0000-0000-0000246B0000}"/>
    <cellStyle name="Total 2 2 3 3 2 2 2" xfId="32294" xr:uid="{00000000-0005-0000-0000-0000256B0000}"/>
    <cellStyle name="Total 2 2 3 3 2 3" xfId="19225" xr:uid="{00000000-0005-0000-0000-0000266B0000}"/>
    <cellStyle name="Total 2 2 3 3 3" xfId="14327" xr:uid="{00000000-0005-0000-0000-0000276B0000}"/>
    <cellStyle name="Total 2 2 3 3 3 2" xfId="29159" xr:uid="{00000000-0005-0000-0000-0000286B0000}"/>
    <cellStyle name="Total 2 2 3 3 4" xfId="11080" xr:uid="{00000000-0005-0000-0000-0000296B0000}"/>
    <cellStyle name="Total 2 2 3 3 4 2" xfId="25912" xr:uid="{00000000-0005-0000-0000-00002A6B0000}"/>
    <cellStyle name="Total 2 2 3 4" xfId="4584" xr:uid="{00000000-0005-0000-0000-00002B6B0000}"/>
    <cellStyle name="Total 2 2 3 4 2" xfId="8623" xr:uid="{00000000-0005-0000-0000-00002C6B0000}"/>
    <cellStyle name="Total 2 2 3 4 2 2" xfId="17741" xr:uid="{00000000-0005-0000-0000-00002D6B0000}"/>
    <cellStyle name="Total 2 2 3 4 2 2 2" xfId="32573" xr:uid="{00000000-0005-0000-0000-00002E6B0000}"/>
    <cellStyle name="Total 2 2 3 4 2 3" xfId="19403" xr:uid="{00000000-0005-0000-0000-00002F6B0000}"/>
    <cellStyle name="Total 2 2 3 4 3" xfId="14911" xr:uid="{00000000-0005-0000-0000-0000306B0000}"/>
    <cellStyle name="Total 2 2 3 4 3 2" xfId="29743" xr:uid="{00000000-0005-0000-0000-0000316B0000}"/>
    <cellStyle name="Total 2 2 3 4 4" xfId="11347" xr:uid="{00000000-0005-0000-0000-0000326B0000}"/>
    <cellStyle name="Total 2 2 3 4 4 2" xfId="26179" xr:uid="{00000000-0005-0000-0000-0000336B0000}"/>
    <cellStyle name="Total 2 2 3 5" xfId="2574" xr:uid="{00000000-0005-0000-0000-0000346B0000}"/>
    <cellStyle name="Total 2 2 3 5 2" xfId="6680" xr:uid="{00000000-0005-0000-0000-0000356B0000}"/>
    <cellStyle name="Total 2 2 3 5 2 2" xfId="16638" xr:uid="{00000000-0005-0000-0000-0000366B0000}"/>
    <cellStyle name="Total 2 2 3 5 2 2 2" xfId="31470" xr:uid="{00000000-0005-0000-0000-0000376B0000}"/>
    <cellStyle name="Total 2 2 3 5 2 3" xfId="18691" xr:uid="{00000000-0005-0000-0000-0000386B0000}"/>
    <cellStyle name="Total 2 2 3 5 3" xfId="12912" xr:uid="{00000000-0005-0000-0000-0000396B0000}"/>
    <cellStyle name="Total 2 2 3 5 3 2" xfId="27744" xr:uid="{00000000-0005-0000-0000-00003A6B0000}"/>
    <cellStyle name="Total 2 2 3 5 4" xfId="10288" xr:uid="{00000000-0005-0000-0000-00003B6B0000}"/>
    <cellStyle name="Total 2 2 3 5 4 2" xfId="25120" xr:uid="{00000000-0005-0000-0000-00003C6B0000}"/>
    <cellStyle name="Total 2 2 3 6" xfId="5697" xr:uid="{00000000-0005-0000-0000-00003D6B0000}"/>
    <cellStyle name="Total 2 2 3 6 2" xfId="15932" xr:uid="{00000000-0005-0000-0000-00003E6B0000}"/>
    <cellStyle name="Total 2 2 3 6 2 2" xfId="30764" xr:uid="{00000000-0005-0000-0000-00003F6B0000}"/>
    <cellStyle name="Total 2 2 3 6 3" xfId="18333" xr:uid="{00000000-0005-0000-0000-0000406B0000}"/>
    <cellStyle name="Total 2 2 3 7" xfId="11952" xr:uid="{00000000-0005-0000-0000-0000416B0000}"/>
    <cellStyle name="Total 2 2 3 7 2" xfId="26784" xr:uid="{00000000-0005-0000-0000-0000426B0000}"/>
    <cellStyle name="Total 2 2 3 8" xfId="9610" xr:uid="{00000000-0005-0000-0000-0000436B0000}"/>
    <cellStyle name="Total 2 2 3 8 2" xfId="19912" xr:uid="{00000000-0005-0000-0000-0000446B0000}"/>
    <cellStyle name="Total 2 2 4" xfId="1592" xr:uid="{00000000-0005-0000-0000-0000456B0000}"/>
    <cellStyle name="Total 2 2 4 2" xfId="2089" xr:uid="{00000000-0005-0000-0000-0000466B0000}"/>
    <cellStyle name="Total 2 2 4 2 2" xfId="3770" xr:uid="{00000000-0005-0000-0000-0000476B0000}"/>
    <cellStyle name="Total 2 2 4 2 2 2" xfId="7826" xr:uid="{00000000-0005-0000-0000-0000486B0000}"/>
    <cellStyle name="Total 2 2 4 2 2 2 2" xfId="17360" xr:uid="{00000000-0005-0000-0000-0000496B0000}"/>
    <cellStyle name="Total 2 2 4 2 2 2 2 2" xfId="32192" xr:uid="{00000000-0005-0000-0000-00004A6B0000}"/>
    <cellStyle name="Total 2 2 4 2 2 2 3" xfId="19153" xr:uid="{00000000-0005-0000-0000-00004B6B0000}"/>
    <cellStyle name="Total 2 2 4 2 2 3" xfId="14105" xr:uid="{00000000-0005-0000-0000-00004C6B0000}"/>
    <cellStyle name="Total 2 2 4 2 2 3 2" xfId="28937" xr:uid="{00000000-0005-0000-0000-00004D6B0000}"/>
    <cellStyle name="Total 2 2 4 2 2 4" xfId="10976" xr:uid="{00000000-0005-0000-0000-00004E6B0000}"/>
    <cellStyle name="Total 2 2 4 2 2 4 2" xfId="25808" xr:uid="{00000000-0005-0000-0000-00004F6B0000}"/>
    <cellStyle name="Total 2 2 4 2 3" xfId="5057" xr:uid="{00000000-0005-0000-0000-0000506B0000}"/>
    <cellStyle name="Total 2 2 4 2 3 2" xfId="9096" xr:uid="{00000000-0005-0000-0000-0000516B0000}"/>
    <cellStyle name="Total 2 2 4 2 3 2 2" xfId="18029" xr:uid="{00000000-0005-0000-0000-0000526B0000}"/>
    <cellStyle name="Total 2 2 4 2 3 2 2 2" xfId="32861" xr:uid="{00000000-0005-0000-0000-0000536B0000}"/>
    <cellStyle name="Total 2 2 4 2 3 2 3" xfId="19595" xr:uid="{00000000-0005-0000-0000-0000546B0000}"/>
    <cellStyle name="Total 2 2 4 2 3 3" xfId="15378" xr:uid="{00000000-0005-0000-0000-0000556B0000}"/>
    <cellStyle name="Total 2 2 4 2 3 3 2" xfId="30210" xr:uid="{00000000-0005-0000-0000-0000566B0000}"/>
    <cellStyle name="Total 2 2 4 2 3 4" xfId="11629" xr:uid="{00000000-0005-0000-0000-0000576B0000}"/>
    <cellStyle name="Total 2 2 4 2 3 4 2" xfId="26461" xr:uid="{00000000-0005-0000-0000-0000586B0000}"/>
    <cellStyle name="Total 2 2 4 2 4" xfId="3047" xr:uid="{00000000-0005-0000-0000-0000596B0000}"/>
    <cellStyle name="Total 2 2 4 2 4 2" xfId="7122" xr:uid="{00000000-0005-0000-0000-00005A6B0000}"/>
    <cellStyle name="Total 2 2 4 2 4 2 2" xfId="16920" xr:uid="{00000000-0005-0000-0000-00005B6B0000}"/>
    <cellStyle name="Total 2 2 4 2 4 2 2 2" xfId="31752" xr:uid="{00000000-0005-0000-0000-00005C6B0000}"/>
    <cellStyle name="Total 2 2 4 2 4 2 3" xfId="18888" xr:uid="{00000000-0005-0000-0000-00005D6B0000}"/>
    <cellStyle name="Total 2 2 4 2 4 3" xfId="13385" xr:uid="{00000000-0005-0000-0000-00005E6B0000}"/>
    <cellStyle name="Total 2 2 4 2 4 3 2" xfId="28217" xr:uid="{00000000-0005-0000-0000-00005F6B0000}"/>
    <cellStyle name="Total 2 2 4 2 4 4" xfId="10576" xr:uid="{00000000-0005-0000-0000-0000606B0000}"/>
    <cellStyle name="Total 2 2 4 2 4 4 2" xfId="25408" xr:uid="{00000000-0005-0000-0000-0000616B0000}"/>
    <cellStyle name="Total 2 2 4 2 5" xfId="6214" xr:uid="{00000000-0005-0000-0000-0000626B0000}"/>
    <cellStyle name="Total 2 2 4 2 5 2" xfId="16400" xr:uid="{00000000-0005-0000-0000-0000636B0000}"/>
    <cellStyle name="Total 2 2 4 2 5 2 2" xfId="31232" xr:uid="{00000000-0005-0000-0000-0000646B0000}"/>
    <cellStyle name="Total 2 2 4 2 5 3" xfId="18529" xr:uid="{00000000-0005-0000-0000-0000656B0000}"/>
    <cellStyle name="Total 2 2 4 2 6" xfId="12470" xr:uid="{00000000-0005-0000-0000-0000666B0000}"/>
    <cellStyle name="Total 2 2 4 2 6 2" xfId="27302" xr:uid="{00000000-0005-0000-0000-0000676B0000}"/>
    <cellStyle name="Total 2 2 4 2 7" xfId="10052" xr:uid="{00000000-0005-0000-0000-0000686B0000}"/>
    <cellStyle name="Total 2 2 4 2 7 2" xfId="24884" xr:uid="{00000000-0005-0000-0000-0000696B0000}"/>
    <cellStyle name="Total 2 2 4 3" xfId="4316" xr:uid="{00000000-0005-0000-0000-00006A6B0000}"/>
    <cellStyle name="Total 2 2 4 3 2" xfId="8355" xr:uid="{00000000-0005-0000-0000-00006B6B0000}"/>
    <cellStyle name="Total 2 2 4 3 2 2" xfId="17633" xr:uid="{00000000-0005-0000-0000-00006C6B0000}"/>
    <cellStyle name="Total 2 2 4 3 2 2 2" xfId="32465" xr:uid="{00000000-0005-0000-0000-00006D6B0000}"/>
    <cellStyle name="Total 2 2 4 3 2 3" xfId="19335" xr:uid="{00000000-0005-0000-0000-00006E6B0000}"/>
    <cellStyle name="Total 2 2 4 3 3" xfId="14647" xr:uid="{00000000-0005-0000-0000-00006F6B0000}"/>
    <cellStyle name="Total 2 2 4 3 3 2" xfId="29479" xr:uid="{00000000-0005-0000-0000-0000706B0000}"/>
    <cellStyle name="Total 2 2 4 3 4" xfId="11243" xr:uid="{00000000-0005-0000-0000-0000716B0000}"/>
    <cellStyle name="Total 2 2 4 3 4 2" xfId="26075" xr:uid="{00000000-0005-0000-0000-0000726B0000}"/>
    <cellStyle name="Total 2 2 4 4" xfId="4637" xr:uid="{00000000-0005-0000-0000-0000736B0000}"/>
    <cellStyle name="Total 2 2 4 4 2" xfId="8676" xr:uid="{00000000-0005-0000-0000-0000746B0000}"/>
    <cellStyle name="Total 2 2 4 4 2 2" xfId="17789" xr:uid="{00000000-0005-0000-0000-0000756B0000}"/>
    <cellStyle name="Total 2 2 4 4 2 2 2" xfId="32621" xr:uid="{00000000-0005-0000-0000-0000766B0000}"/>
    <cellStyle name="Total 2 2 4 4 2 3" xfId="19435" xr:uid="{00000000-0005-0000-0000-0000776B0000}"/>
    <cellStyle name="Total 2 2 4 4 3" xfId="14963" xr:uid="{00000000-0005-0000-0000-0000786B0000}"/>
    <cellStyle name="Total 2 2 4 4 3 2" xfId="29795" xr:uid="{00000000-0005-0000-0000-0000796B0000}"/>
    <cellStyle name="Total 2 2 4 4 4" xfId="11394" xr:uid="{00000000-0005-0000-0000-00007A6B0000}"/>
    <cellStyle name="Total 2 2 4 4 4 2" xfId="26226" xr:uid="{00000000-0005-0000-0000-00007B6B0000}"/>
    <cellStyle name="Total 2 2 4 5" xfId="2627" xr:uid="{00000000-0005-0000-0000-00007C6B0000}"/>
    <cellStyle name="Total 2 2 4 5 2" xfId="6728" xr:uid="{00000000-0005-0000-0000-00007D6B0000}"/>
    <cellStyle name="Total 2 2 4 5 2 2" xfId="16685" xr:uid="{00000000-0005-0000-0000-00007E6B0000}"/>
    <cellStyle name="Total 2 2 4 5 2 2 2" xfId="31517" xr:uid="{00000000-0005-0000-0000-00007F6B0000}"/>
    <cellStyle name="Total 2 2 4 5 2 3" xfId="18724" xr:uid="{00000000-0005-0000-0000-0000806B0000}"/>
    <cellStyle name="Total 2 2 4 5 3" xfId="12965" xr:uid="{00000000-0005-0000-0000-0000816B0000}"/>
    <cellStyle name="Total 2 2 4 5 3 2" xfId="27797" xr:uid="{00000000-0005-0000-0000-0000826B0000}"/>
    <cellStyle name="Total 2 2 4 5 4" xfId="10336" xr:uid="{00000000-0005-0000-0000-0000836B0000}"/>
    <cellStyle name="Total 2 2 4 5 4 2" xfId="25168" xr:uid="{00000000-0005-0000-0000-0000846B0000}"/>
    <cellStyle name="Total 2 2 4 6" xfId="5744" xr:uid="{00000000-0005-0000-0000-0000856B0000}"/>
    <cellStyle name="Total 2 2 4 6 2" xfId="15979" xr:uid="{00000000-0005-0000-0000-0000866B0000}"/>
    <cellStyle name="Total 2 2 4 6 2 2" xfId="30811" xr:uid="{00000000-0005-0000-0000-0000876B0000}"/>
    <cellStyle name="Total 2 2 4 6 3" xfId="18365" xr:uid="{00000000-0005-0000-0000-0000886B0000}"/>
    <cellStyle name="Total 2 2 4 7" xfId="11999" xr:uid="{00000000-0005-0000-0000-0000896B0000}"/>
    <cellStyle name="Total 2 2 4 7 2" xfId="26831" xr:uid="{00000000-0005-0000-0000-00008A6B0000}"/>
    <cellStyle name="Total 2 2 4 8" xfId="9658" xr:uid="{00000000-0005-0000-0000-00008B6B0000}"/>
    <cellStyle name="Total 2 2 4 8 2" xfId="19959" xr:uid="{00000000-0005-0000-0000-00008C6B0000}"/>
    <cellStyle name="Total 2 2 5" xfId="1642" xr:uid="{00000000-0005-0000-0000-00008D6B0000}"/>
    <cellStyle name="Total 2 2 5 2" xfId="2139" xr:uid="{00000000-0005-0000-0000-00008E6B0000}"/>
    <cellStyle name="Total 2 2 5 2 2" xfId="3493" xr:uid="{00000000-0005-0000-0000-00008F6B0000}"/>
    <cellStyle name="Total 2 2 5 2 2 2" xfId="7555" xr:uid="{00000000-0005-0000-0000-0000906B0000}"/>
    <cellStyle name="Total 2 2 5 2 2 2 2" xfId="17216" xr:uid="{00000000-0005-0000-0000-0000916B0000}"/>
    <cellStyle name="Total 2 2 5 2 2 2 2 2" xfId="32048" xr:uid="{00000000-0005-0000-0000-0000926B0000}"/>
    <cellStyle name="Total 2 2 5 2 2 2 3" xfId="19052" xr:uid="{00000000-0005-0000-0000-0000936B0000}"/>
    <cellStyle name="Total 2 2 5 2 2 3" xfId="13830" xr:uid="{00000000-0005-0000-0000-0000946B0000}"/>
    <cellStyle name="Total 2 2 5 2 2 3 2" xfId="28662" xr:uid="{00000000-0005-0000-0000-0000956B0000}"/>
    <cellStyle name="Total 2 2 5 2 2 4" xfId="10834" xr:uid="{00000000-0005-0000-0000-0000966B0000}"/>
    <cellStyle name="Total 2 2 5 2 2 4 2" xfId="25666" xr:uid="{00000000-0005-0000-0000-0000976B0000}"/>
    <cellStyle name="Total 2 2 5 2 3" xfId="5107" xr:uid="{00000000-0005-0000-0000-0000986B0000}"/>
    <cellStyle name="Total 2 2 5 2 3 2" xfId="9146" xr:uid="{00000000-0005-0000-0000-0000996B0000}"/>
    <cellStyle name="Total 2 2 5 2 3 2 2" xfId="18074" xr:uid="{00000000-0005-0000-0000-00009A6B0000}"/>
    <cellStyle name="Total 2 2 5 2 3 2 2 2" xfId="32906" xr:uid="{00000000-0005-0000-0000-00009B6B0000}"/>
    <cellStyle name="Total 2 2 5 2 3 2 3" xfId="19627" xr:uid="{00000000-0005-0000-0000-00009C6B0000}"/>
    <cellStyle name="Total 2 2 5 2 3 3" xfId="15427" xr:uid="{00000000-0005-0000-0000-00009D6B0000}"/>
    <cellStyle name="Total 2 2 5 2 3 3 2" xfId="30259" xr:uid="{00000000-0005-0000-0000-00009E6B0000}"/>
    <cellStyle name="Total 2 2 5 2 3 4" xfId="11673" xr:uid="{00000000-0005-0000-0000-00009F6B0000}"/>
    <cellStyle name="Total 2 2 5 2 3 4 2" xfId="26505" xr:uid="{00000000-0005-0000-0000-0000A06B0000}"/>
    <cellStyle name="Total 2 2 5 2 4" xfId="3097" xr:uid="{00000000-0005-0000-0000-0000A16B0000}"/>
    <cellStyle name="Total 2 2 5 2 4 2" xfId="7167" xr:uid="{00000000-0005-0000-0000-0000A26B0000}"/>
    <cellStyle name="Total 2 2 5 2 4 2 2" xfId="16964" xr:uid="{00000000-0005-0000-0000-0000A36B0000}"/>
    <cellStyle name="Total 2 2 5 2 4 2 2 2" xfId="31796" xr:uid="{00000000-0005-0000-0000-0000A46B0000}"/>
    <cellStyle name="Total 2 2 5 2 4 2 3" xfId="18921" xr:uid="{00000000-0005-0000-0000-0000A56B0000}"/>
    <cellStyle name="Total 2 2 5 2 4 3" xfId="13435" xr:uid="{00000000-0005-0000-0000-0000A66B0000}"/>
    <cellStyle name="Total 2 2 5 2 4 3 2" xfId="28267" xr:uid="{00000000-0005-0000-0000-0000A76B0000}"/>
    <cellStyle name="Total 2 2 5 2 4 4" xfId="10621" xr:uid="{00000000-0005-0000-0000-0000A86B0000}"/>
    <cellStyle name="Total 2 2 5 2 4 4 2" xfId="25453" xr:uid="{00000000-0005-0000-0000-0000A96B0000}"/>
    <cellStyle name="Total 2 2 5 2 5" xfId="6259" xr:uid="{00000000-0005-0000-0000-0000AA6B0000}"/>
    <cellStyle name="Total 2 2 5 2 5 2" xfId="16444" xr:uid="{00000000-0005-0000-0000-0000AB6B0000}"/>
    <cellStyle name="Total 2 2 5 2 5 2 2" xfId="31276" xr:uid="{00000000-0005-0000-0000-0000AC6B0000}"/>
    <cellStyle name="Total 2 2 5 2 5 3" xfId="18562" xr:uid="{00000000-0005-0000-0000-0000AD6B0000}"/>
    <cellStyle name="Total 2 2 5 2 6" xfId="12514" xr:uid="{00000000-0005-0000-0000-0000AE6B0000}"/>
    <cellStyle name="Total 2 2 5 2 6 2" xfId="27346" xr:uid="{00000000-0005-0000-0000-0000AF6B0000}"/>
    <cellStyle name="Total 2 2 5 2 7" xfId="10096" xr:uid="{00000000-0005-0000-0000-0000B06B0000}"/>
    <cellStyle name="Total 2 2 5 2 7 2" xfId="24928" xr:uid="{00000000-0005-0000-0000-0000B16B0000}"/>
    <cellStyle name="Total 2 2 5 3" xfId="3587" xr:uid="{00000000-0005-0000-0000-0000B26B0000}"/>
    <cellStyle name="Total 2 2 5 3 2" xfId="7649" xr:uid="{00000000-0005-0000-0000-0000B36B0000}"/>
    <cellStyle name="Total 2 2 5 3 2 2" xfId="17273" xr:uid="{00000000-0005-0000-0000-0000B46B0000}"/>
    <cellStyle name="Total 2 2 5 3 2 2 2" xfId="32105" xr:uid="{00000000-0005-0000-0000-0000B56B0000}"/>
    <cellStyle name="Total 2 2 5 3 2 3" xfId="19093" xr:uid="{00000000-0005-0000-0000-0000B66B0000}"/>
    <cellStyle name="Total 2 2 5 3 3" xfId="13923" xr:uid="{00000000-0005-0000-0000-0000B76B0000}"/>
    <cellStyle name="Total 2 2 5 3 3 2" xfId="28755" xr:uid="{00000000-0005-0000-0000-0000B86B0000}"/>
    <cellStyle name="Total 2 2 5 3 4" xfId="10890" xr:uid="{00000000-0005-0000-0000-0000B96B0000}"/>
    <cellStyle name="Total 2 2 5 3 4 2" xfId="25722" xr:uid="{00000000-0005-0000-0000-0000BA6B0000}"/>
    <cellStyle name="Total 2 2 5 4" xfId="4687" xr:uid="{00000000-0005-0000-0000-0000BB6B0000}"/>
    <cellStyle name="Total 2 2 5 4 2" xfId="8726" xr:uid="{00000000-0005-0000-0000-0000BC6B0000}"/>
    <cellStyle name="Total 2 2 5 4 2 2" xfId="17834" xr:uid="{00000000-0005-0000-0000-0000BD6B0000}"/>
    <cellStyle name="Total 2 2 5 4 2 2 2" xfId="32666" xr:uid="{00000000-0005-0000-0000-0000BE6B0000}"/>
    <cellStyle name="Total 2 2 5 4 2 3" xfId="19467" xr:uid="{00000000-0005-0000-0000-0000BF6B0000}"/>
    <cellStyle name="Total 2 2 5 4 3" xfId="15012" xr:uid="{00000000-0005-0000-0000-0000C06B0000}"/>
    <cellStyle name="Total 2 2 5 4 3 2" xfId="29844" xr:uid="{00000000-0005-0000-0000-0000C16B0000}"/>
    <cellStyle name="Total 2 2 5 4 4" xfId="11438" xr:uid="{00000000-0005-0000-0000-0000C26B0000}"/>
    <cellStyle name="Total 2 2 5 4 4 2" xfId="26270" xr:uid="{00000000-0005-0000-0000-0000C36B0000}"/>
    <cellStyle name="Total 2 2 5 5" xfId="2677" xr:uid="{00000000-0005-0000-0000-0000C46B0000}"/>
    <cellStyle name="Total 2 2 5 5 2" xfId="6773" xr:uid="{00000000-0005-0000-0000-0000C56B0000}"/>
    <cellStyle name="Total 2 2 5 5 2 2" xfId="16729" xr:uid="{00000000-0005-0000-0000-0000C66B0000}"/>
    <cellStyle name="Total 2 2 5 5 2 2 2" xfId="31561" xr:uid="{00000000-0005-0000-0000-0000C76B0000}"/>
    <cellStyle name="Total 2 2 5 5 2 3" xfId="18757" xr:uid="{00000000-0005-0000-0000-0000C86B0000}"/>
    <cellStyle name="Total 2 2 5 5 3" xfId="13015" xr:uid="{00000000-0005-0000-0000-0000C96B0000}"/>
    <cellStyle name="Total 2 2 5 5 3 2" xfId="27847" xr:uid="{00000000-0005-0000-0000-0000CA6B0000}"/>
    <cellStyle name="Total 2 2 5 5 4" xfId="10381" xr:uid="{00000000-0005-0000-0000-0000CB6B0000}"/>
    <cellStyle name="Total 2 2 5 5 4 2" xfId="25213" xr:uid="{00000000-0005-0000-0000-0000CC6B0000}"/>
    <cellStyle name="Total 2 2 5 6" xfId="5789" xr:uid="{00000000-0005-0000-0000-0000CD6B0000}"/>
    <cellStyle name="Total 2 2 5 6 2" xfId="16023" xr:uid="{00000000-0005-0000-0000-0000CE6B0000}"/>
    <cellStyle name="Total 2 2 5 6 2 2" xfId="30855" xr:uid="{00000000-0005-0000-0000-0000CF6B0000}"/>
    <cellStyle name="Total 2 2 5 6 3" xfId="18398" xr:uid="{00000000-0005-0000-0000-0000D06B0000}"/>
    <cellStyle name="Total 2 2 5 7" xfId="12043" xr:uid="{00000000-0005-0000-0000-0000D16B0000}"/>
    <cellStyle name="Total 2 2 5 7 2" xfId="26875" xr:uid="{00000000-0005-0000-0000-0000D26B0000}"/>
    <cellStyle name="Total 2 2 5 8" xfId="9703" xr:uid="{00000000-0005-0000-0000-0000D36B0000}"/>
    <cellStyle name="Total 2 2 5 8 2" xfId="20003" xr:uid="{00000000-0005-0000-0000-0000D46B0000}"/>
    <cellStyle name="Total 2 2 6" xfId="1793" xr:uid="{00000000-0005-0000-0000-0000D56B0000}"/>
    <cellStyle name="Total 2 2 6 2" xfId="3572" xr:uid="{00000000-0005-0000-0000-0000D66B0000}"/>
    <cellStyle name="Total 2 2 6 2 2" xfId="7634" xr:uid="{00000000-0005-0000-0000-0000D76B0000}"/>
    <cellStyle name="Total 2 2 6 2 2 2" xfId="17263" xr:uid="{00000000-0005-0000-0000-0000D86B0000}"/>
    <cellStyle name="Total 2 2 6 2 2 2 2" xfId="32095" xr:uid="{00000000-0005-0000-0000-0000D96B0000}"/>
    <cellStyle name="Total 2 2 6 2 2 3" xfId="19086" xr:uid="{00000000-0005-0000-0000-0000DA6B0000}"/>
    <cellStyle name="Total 2 2 6 2 3" xfId="13908" xr:uid="{00000000-0005-0000-0000-0000DB6B0000}"/>
    <cellStyle name="Total 2 2 6 2 3 2" xfId="28740" xr:uid="{00000000-0005-0000-0000-0000DC6B0000}"/>
    <cellStyle name="Total 2 2 6 2 4" xfId="10880" xr:uid="{00000000-0005-0000-0000-0000DD6B0000}"/>
    <cellStyle name="Total 2 2 6 2 4 2" xfId="25712" xr:uid="{00000000-0005-0000-0000-0000DE6B0000}"/>
    <cellStyle name="Total 2 2 6 3" xfId="4771" xr:uid="{00000000-0005-0000-0000-0000DF6B0000}"/>
    <cellStyle name="Total 2 2 6 3 2" xfId="8810" xr:uid="{00000000-0005-0000-0000-0000E06B0000}"/>
    <cellStyle name="Total 2 2 6 3 2 2" xfId="17882" xr:uid="{00000000-0005-0000-0000-0000E16B0000}"/>
    <cellStyle name="Total 2 2 6 3 2 2 2" xfId="32714" xr:uid="{00000000-0005-0000-0000-0000E26B0000}"/>
    <cellStyle name="Total 2 2 6 3 2 3" xfId="19499" xr:uid="{00000000-0005-0000-0000-0000E36B0000}"/>
    <cellStyle name="Total 2 2 6 3 3" xfId="15095" xr:uid="{00000000-0005-0000-0000-0000E46B0000}"/>
    <cellStyle name="Total 2 2 6 3 3 2" xfId="29927" xr:uid="{00000000-0005-0000-0000-0000E56B0000}"/>
    <cellStyle name="Total 2 2 6 3 4" xfId="11485" xr:uid="{00000000-0005-0000-0000-0000E66B0000}"/>
    <cellStyle name="Total 2 2 6 3 4 2" xfId="26317" xr:uid="{00000000-0005-0000-0000-0000E76B0000}"/>
    <cellStyle name="Total 2 2 6 4" xfId="2761" xr:uid="{00000000-0005-0000-0000-0000E86B0000}"/>
    <cellStyle name="Total 2 2 6 4 2" xfId="6852" xr:uid="{00000000-0005-0000-0000-0000E96B0000}"/>
    <cellStyle name="Total 2 2 6 4 2 2" xfId="16776" xr:uid="{00000000-0005-0000-0000-0000EA6B0000}"/>
    <cellStyle name="Total 2 2 6 4 2 2 2" xfId="31608" xr:uid="{00000000-0005-0000-0000-0000EB6B0000}"/>
    <cellStyle name="Total 2 2 6 4 2 3" xfId="18790" xr:uid="{00000000-0005-0000-0000-0000EC6B0000}"/>
    <cellStyle name="Total 2 2 6 4 3" xfId="13099" xr:uid="{00000000-0005-0000-0000-0000ED6B0000}"/>
    <cellStyle name="Total 2 2 6 4 3 2" xfId="27931" xr:uid="{00000000-0005-0000-0000-0000EE6B0000}"/>
    <cellStyle name="Total 2 2 6 4 4" xfId="10429" xr:uid="{00000000-0005-0000-0000-0000EF6B0000}"/>
    <cellStyle name="Total 2 2 6 4 4 2" xfId="25261" xr:uid="{00000000-0005-0000-0000-0000F06B0000}"/>
    <cellStyle name="Total 2 2 6 5" xfId="5925" xr:uid="{00000000-0005-0000-0000-0000F16B0000}"/>
    <cellStyle name="Total 2 2 6 5 2" xfId="16117" xr:uid="{00000000-0005-0000-0000-0000F26B0000}"/>
    <cellStyle name="Total 2 2 6 5 2 2" xfId="30949" xr:uid="{00000000-0005-0000-0000-0000F36B0000}"/>
    <cellStyle name="Total 2 2 6 5 3" xfId="18432" xr:uid="{00000000-0005-0000-0000-0000F46B0000}"/>
    <cellStyle name="Total 2 2 6 6" xfId="12187" xr:uid="{00000000-0005-0000-0000-0000F56B0000}"/>
    <cellStyle name="Total 2 2 6 6 2" xfId="27019" xr:uid="{00000000-0005-0000-0000-0000F66B0000}"/>
    <cellStyle name="Total 2 2 6 7" xfId="9783" xr:uid="{00000000-0005-0000-0000-0000F76B0000}"/>
    <cellStyle name="Total 2 2 6 7 2" xfId="24740" xr:uid="{00000000-0005-0000-0000-0000F86B0000}"/>
    <cellStyle name="Total 2 2 7" xfId="2173" xr:uid="{00000000-0005-0000-0000-0000F96B0000}"/>
    <cellStyle name="Total 2 2 7 2" xfId="3767" xr:uid="{00000000-0005-0000-0000-0000FA6B0000}"/>
    <cellStyle name="Total 2 2 7 2 2" xfId="7823" xr:uid="{00000000-0005-0000-0000-0000FB6B0000}"/>
    <cellStyle name="Total 2 2 7 2 2 2" xfId="17357" xr:uid="{00000000-0005-0000-0000-0000FC6B0000}"/>
    <cellStyle name="Total 2 2 7 2 2 2 2" xfId="32189" xr:uid="{00000000-0005-0000-0000-0000FD6B0000}"/>
    <cellStyle name="Total 2 2 7 2 2 3" xfId="19151" xr:uid="{00000000-0005-0000-0000-0000FE6B0000}"/>
    <cellStyle name="Total 2 2 7 2 3" xfId="14102" xr:uid="{00000000-0005-0000-0000-0000FF6B0000}"/>
    <cellStyle name="Total 2 2 7 2 3 2" xfId="28934" xr:uid="{00000000-0005-0000-0000-0000006C0000}"/>
    <cellStyle name="Total 2 2 7 2 4" xfId="10973" xr:uid="{00000000-0005-0000-0000-0000016C0000}"/>
    <cellStyle name="Total 2 2 7 2 4 2" xfId="25805" xr:uid="{00000000-0005-0000-0000-0000026C0000}"/>
    <cellStyle name="Total 2 2 7 3" xfId="5141" xr:uid="{00000000-0005-0000-0000-0000036C0000}"/>
    <cellStyle name="Total 2 2 7 3 2" xfId="9180" xr:uid="{00000000-0005-0000-0000-0000046C0000}"/>
    <cellStyle name="Total 2 2 7 3 2 2" xfId="18103" xr:uid="{00000000-0005-0000-0000-0000056C0000}"/>
    <cellStyle name="Total 2 2 7 3 2 2 2" xfId="32935" xr:uid="{00000000-0005-0000-0000-0000066C0000}"/>
    <cellStyle name="Total 2 2 7 3 2 3" xfId="19654" xr:uid="{00000000-0005-0000-0000-0000076C0000}"/>
    <cellStyle name="Total 2 2 7 3 3" xfId="15459" xr:uid="{00000000-0005-0000-0000-0000086C0000}"/>
    <cellStyle name="Total 2 2 7 3 3 2" xfId="30291" xr:uid="{00000000-0005-0000-0000-0000096C0000}"/>
    <cellStyle name="Total 2 2 7 3 4" xfId="11700" xr:uid="{00000000-0005-0000-0000-00000A6C0000}"/>
    <cellStyle name="Total 2 2 7 3 4 2" xfId="26532" xr:uid="{00000000-0005-0000-0000-00000B6C0000}"/>
    <cellStyle name="Total 2 2 7 4" xfId="4171" xr:uid="{00000000-0005-0000-0000-00000C6C0000}"/>
    <cellStyle name="Total 2 2 7 4 2" xfId="8212" xr:uid="{00000000-0005-0000-0000-00000D6C0000}"/>
    <cellStyle name="Total 2 2 7 4 2 2" xfId="17559" xr:uid="{00000000-0005-0000-0000-00000E6C0000}"/>
    <cellStyle name="Total 2 2 7 4 2 2 2" xfId="32391" xr:uid="{00000000-0005-0000-0000-00000F6C0000}"/>
    <cellStyle name="Total 2 2 7 4 2 3" xfId="19297" xr:uid="{00000000-0005-0000-0000-0000106C0000}"/>
    <cellStyle name="Total 2 2 7 4 3" xfId="14503" xr:uid="{00000000-0005-0000-0000-0000116C0000}"/>
    <cellStyle name="Total 2 2 7 4 3 2" xfId="29335" xr:uid="{00000000-0005-0000-0000-0000126C0000}"/>
    <cellStyle name="Total 2 2 7 4 4" xfId="11179" xr:uid="{00000000-0005-0000-0000-0000136C0000}"/>
    <cellStyle name="Total 2 2 7 4 4 2" xfId="26011" xr:uid="{00000000-0005-0000-0000-0000146C0000}"/>
    <cellStyle name="Total 2 2 7 5" xfId="6287" xr:uid="{00000000-0005-0000-0000-0000156C0000}"/>
    <cellStyle name="Total 2 2 7 5 2" xfId="16471" xr:uid="{00000000-0005-0000-0000-0000166C0000}"/>
    <cellStyle name="Total 2 2 7 5 2 2" xfId="31303" xr:uid="{00000000-0005-0000-0000-0000176C0000}"/>
    <cellStyle name="Total 2 2 7 5 3" xfId="18590" xr:uid="{00000000-0005-0000-0000-0000186C0000}"/>
    <cellStyle name="Total 2 2 7 6" xfId="12541" xr:uid="{00000000-0005-0000-0000-0000196C0000}"/>
    <cellStyle name="Total 2 2 7 6 2" xfId="27373" xr:uid="{00000000-0005-0000-0000-00001A6C0000}"/>
    <cellStyle name="Total 2 2 7 7" xfId="10123" xr:uid="{00000000-0005-0000-0000-00001B6C0000}"/>
    <cellStyle name="Total 2 2 7 7 2" xfId="24955" xr:uid="{00000000-0005-0000-0000-00001C6C0000}"/>
    <cellStyle name="Total 2 2 8" xfId="3553" xr:uid="{00000000-0005-0000-0000-00001D6C0000}"/>
    <cellStyle name="Total 2 2 8 2" xfId="7615" xr:uid="{00000000-0005-0000-0000-00001E6C0000}"/>
    <cellStyle name="Total 2 2 8 2 2" xfId="17253" xr:uid="{00000000-0005-0000-0000-00001F6C0000}"/>
    <cellStyle name="Total 2 2 8 2 2 2" xfId="32085" xr:uid="{00000000-0005-0000-0000-0000206C0000}"/>
    <cellStyle name="Total 2 2 8 2 3" xfId="19076" xr:uid="{00000000-0005-0000-0000-0000216C0000}"/>
    <cellStyle name="Total 2 2 8 3" xfId="13889" xr:uid="{00000000-0005-0000-0000-0000226C0000}"/>
    <cellStyle name="Total 2 2 8 3 2" xfId="28721" xr:uid="{00000000-0005-0000-0000-0000236C0000}"/>
    <cellStyle name="Total 2 2 8 4" xfId="10870" xr:uid="{00000000-0005-0000-0000-0000246C0000}"/>
    <cellStyle name="Total 2 2 8 4 2" xfId="25702" xr:uid="{00000000-0005-0000-0000-0000256C0000}"/>
    <cellStyle name="Total 2 2 9" xfId="3349" xr:uid="{00000000-0005-0000-0000-0000266C0000}"/>
    <cellStyle name="Total 2 2 9 2" xfId="7412" xr:uid="{00000000-0005-0000-0000-0000276C0000}"/>
    <cellStyle name="Total 2 2 9 2 2" xfId="17137" xr:uid="{00000000-0005-0000-0000-0000286C0000}"/>
    <cellStyle name="Total 2 2 9 2 2 2" xfId="31969" xr:uid="{00000000-0005-0000-0000-0000296C0000}"/>
    <cellStyle name="Total 2 2 9 2 3" xfId="19007" xr:uid="{00000000-0005-0000-0000-00002A6C0000}"/>
    <cellStyle name="Total 2 2 9 3" xfId="13686" xr:uid="{00000000-0005-0000-0000-00002B6C0000}"/>
    <cellStyle name="Total 2 2 9 3 2" xfId="28518" xr:uid="{00000000-0005-0000-0000-00002C6C0000}"/>
    <cellStyle name="Total 2 2 9 4" xfId="10756" xr:uid="{00000000-0005-0000-0000-00002D6C0000}"/>
    <cellStyle name="Total 2 2 9 4 2" xfId="25588" xr:uid="{00000000-0005-0000-0000-00002E6C0000}"/>
    <cellStyle name="Total 2 20" xfId="9337" xr:uid="{00000000-0005-0000-0000-00002F6C0000}"/>
    <cellStyle name="Total 2 20 2" xfId="24643" xr:uid="{00000000-0005-0000-0000-0000306C0000}"/>
    <cellStyle name="Total 2 21" xfId="5326" xr:uid="{00000000-0005-0000-0000-0000316C0000}"/>
    <cellStyle name="Total 2 21 2" xfId="18200" xr:uid="{00000000-0005-0000-0000-0000326C0000}"/>
    <cellStyle name="Total 2 3" xfId="1269" xr:uid="{00000000-0005-0000-0000-0000336C0000}"/>
    <cellStyle name="Total 2 3 10" xfId="2336" xr:uid="{00000000-0005-0000-0000-0000346C0000}"/>
    <cellStyle name="Total 2 3 10 2" xfId="6448" xr:uid="{00000000-0005-0000-0000-0000356C0000}"/>
    <cellStyle name="Total 2 3 10 2 2" xfId="16540" xr:uid="{00000000-0005-0000-0000-0000366C0000}"/>
    <cellStyle name="Total 2 3 10 2 2 2" xfId="31372" xr:uid="{00000000-0005-0000-0000-0000376C0000}"/>
    <cellStyle name="Total 2 3 10 2 3" xfId="18628" xr:uid="{00000000-0005-0000-0000-0000386C0000}"/>
    <cellStyle name="Total 2 3 10 3" xfId="12676" xr:uid="{00000000-0005-0000-0000-0000396C0000}"/>
    <cellStyle name="Total 2 3 10 3 2" xfId="27508" xr:uid="{00000000-0005-0000-0000-00003A6C0000}"/>
    <cellStyle name="Total 2 3 10 4" xfId="10191" xr:uid="{00000000-0005-0000-0000-00003B6C0000}"/>
    <cellStyle name="Total 2 3 10 4 2" xfId="25023" xr:uid="{00000000-0005-0000-0000-00003C6C0000}"/>
    <cellStyle name="Total 2 3 11" xfId="5298" xr:uid="{00000000-0005-0000-0000-00003D6C0000}"/>
    <cellStyle name="Total 2 3 11 2" xfId="9306" xr:uid="{00000000-0005-0000-0000-00003E6C0000}"/>
    <cellStyle name="Total 2 3 11 2 2" xfId="18173" xr:uid="{00000000-0005-0000-0000-00003F6C0000}"/>
    <cellStyle name="Total 2 3 11 2 2 2" xfId="33005" xr:uid="{00000000-0005-0000-0000-0000406C0000}"/>
    <cellStyle name="Total 2 3 11 2 3" xfId="19692" xr:uid="{00000000-0005-0000-0000-0000416C0000}"/>
    <cellStyle name="Total 2 3 11 3" xfId="15614" xr:uid="{00000000-0005-0000-0000-0000426C0000}"/>
    <cellStyle name="Total 2 3 11 3 2" xfId="30446" xr:uid="{00000000-0005-0000-0000-0000436C0000}"/>
    <cellStyle name="Total 2 3 12" xfId="5456" xr:uid="{00000000-0005-0000-0000-0000446C0000}"/>
    <cellStyle name="Total 2 3 12 2" xfId="15692" xr:uid="{00000000-0005-0000-0000-0000456C0000}"/>
    <cellStyle name="Total 2 3 12 2 2" xfId="30524" xr:uid="{00000000-0005-0000-0000-0000466C0000}"/>
    <cellStyle name="Total 2 3 12 3" xfId="18269" xr:uid="{00000000-0005-0000-0000-0000476C0000}"/>
    <cellStyle name="Total 2 3 13" xfId="9335" xr:uid="{00000000-0005-0000-0000-0000486C0000}"/>
    <cellStyle name="Total 2 3 13 2" xfId="24641" xr:uid="{00000000-0005-0000-0000-0000496C0000}"/>
    <cellStyle name="Total 2 3 14" xfId="5324" xr:uid="{00000000-0005-0000-0000-00004A6C0000}"/>
    <cellStyle name="Total 2 3 14 2" xfId="18198" xr:uid="{00000000-0005-0000-0000-00004B6C0000}"/>
    <cellStyle name="Total 2 3 2" xfId="1368" xr:uid="{00000000-0005-0000-0000-00004C6C0000}"/>
    <cellStyle name="Total 2 3 2 2" xfId="1872" xr:uid="{00000000-0005-0000-0000-00004D6C0000}"/>
    <cellStyle name="Total 2 3 2 2 2" xfId="3598" xr:uid="{00000000-0005-0000-0000-00004E6C0000}"/>
    <cellStyle name="Total 2 3 2 2 2 2" xfId="7660" xr:uid="{00000000-0005-0000-0000-00004F6C0000}"/>
    <cellStyle name="Total 2 3 2 2 2 2 2" xfId="17277" xr:uid="{00000000-0005-0000-0000-0000506C0000}"/>
    <cellStyle name="Total 2 3 2 2 2 2 2 2" xfId="32109" xr:uid="{00000000-0005-0000-0000-0000516C0000}"/>
    <cellStyle name="Total 2 3 2 2 2 2 3" xfId="19096" xr:uid="{00000000-0005-0000-0000-0000526C0000}"/>
    <cellStyle name="Total 2 3 2 2 2 3" xfId="13934" xr:uid="{00000000-0005-0000-0000-0000536C0000}"/>
    <cellStyle name="Total 2 3 2 2 2 3 2" xfId="28766" xr:uid="{00000000-0005-0000-0000-0000546C0000}"/>
    <cellStyle name="Total 2 3 2 2 2 4" xfId="10894" xr:uid="{00000000-0005-0000-0000-0000556C0000}"/>
    <cellStyle name="Total 2 3 2 2 2 4 2" xfId="25726" xr:uid="{00000000-0005-0000-0000-0000566C0000}"/>
    <cellStyle name="Total 2 3 2 2 3" xfId="4850" xr:uid="{00000000-0005-0000-0000-0000576C0000}"/>
    <cellStyle name="Total 2 3 2 2 3 2" xfId="8889" xr:uid="{00000000-0005-0000-0000-0000586C0000}"/>
    <cellStyle name="Total 2 3 2 2 3 2 2" xfId="17930" xr:uid="{00000000-0005-0000-0000-0000596C0000}"/>
    <cellStyle name="Total 2 3 2 2 3 2 2 2" xfId="32762" xr:uid="{00000000-0005-0000-0000-00005A6C0000}"/>
    <cellStyle name="Total 2 3 2 2 3 2 3" xfId="19532" xr:uid="{00000000-0005-0000-0000-00005B6C0000}"/>
    <cellStyle name="Total 2 3 2 2 3 3" xfId="15174" xr:uid="{00000000-0005-0000-0000-00005C6C0000}"/>
    <cellStyle name="Total 2 3 2 2 3 3 2" xfId="30006" xr:uid="{00000000-0005-0000-0000-00005D6C0000}"/>
    <cellStyle name="Total 2 3 2 2 3 4" xfId="11533" xr:uid="{00000000-0005-0000-0000-00005E6C0000}"/>
    <cellStyle name="Total 2 3 2 2 3 4 2" xfId="26365" xr:uid="{00000000-0005-0000-0000-00005F6C0000}"/>
    <cellStyle name="Total 2 3 2 2 4" xfId="2840" xr:uid="{00000000-0005-0000-0000-0000606C0000}"/>
    <cellStyle name="Total 2 3 2 2 4 2" xfId="6931" xr:uid="{00000000-0005-0000-0000-0000616C0000}"/>
    <cellStyle name="Total 2 3 2 2 4 2 2" xfId="16824" xr:uid="{00000000-0005-0000-0000-0000626C0000}"/>
    <cellStyle name="Total 2 3 2 2 4 2 2 2" xfId="31656" xr:uid="{00000000-0005-0000-0000-0000636C0000}"/>
    <cellStyle name="Total 2 3 2 2 4 2 3" xfId="18823" xr:uid="{00000000-0005-0000-0000-0000646C0000}"/>
    <cellStyle name="Total 2 3 2 2 4 3" xfId="13178" xr:uid="{00000000-0005-0000-0000-0000656C0000}"/>
    <cellStyle name="Total 2 3 2 2 4 3 2" xfId="28010" xr:uid="{00000000-0005-0000-0000-0000666C0000}"/>
    <cellStyle name="Total 2 3 2 2 4 4" xfId="10477" xr:uid="{00000000-0005-0000-0000-0000676C0000}"/>
    <cellStyle name="Total 2 3 2 2 4 4 2" xfId="25309" xr:uid="{00000000-0005-0000-0000-0000686C0000}"/>
    <cellStyle name="Total 2 3 2 2 5" xfId="6004" xr:uid="{00000000-0005-0000-0000-0000696C0000}"/>
    <cellStyle name="Total 2 3 2 2 5 2" xfId="16196" xr:uid="{00000000-0005-0000-0000-00006A6C0000}"/>
    <cellStyle name="Total 2 3 2 2 5 2 2" xfId="31028" xr:uid="{00000000-0005-0000-0000-00006B6C0000}"/>
    <cellStyle name="Total 2 3 2 2 5 3" xfId="18465" xr:uid="{00000000-0005-0000-0000-00006C6C0000}"/>
    <cellStyle name="Total 2 3 2 2 6" xfId="12266" xr:uid="{00000000-0005-0000-0000-00006D6C0000}"/>
    <cellStyle name="Total 2 3 2 2 6 2" xfId="27098" xr:uid="{00000000-0005-0000-0000-00006E6C0000}"/>
    <cellStyle name="Total 2 3 2 2 7" xfId="9862" xr:uid="{00000000-0005-0000-0000-00006F6C0000}"/>
    <cellStyle name="Total 2 3 2 2 7 2" xfId="24788" xr:uid="{00000000-0005-0000-0000-0000706C0000}"/>
    <cellStyle name="Total 2 3 2 3" xfId="3832" xr:uid="{00000000-0005-0000-0000-0000716C0000}"/>
    <cellStyle name="Total 2 3 2 3 2" xfId="7885" xr:uid="{00000000-0005-0000-0000-0000726C0000}"/>
    <cellStyle name="Total 2 3 2 3 2 2" xfId="17386" xr:uid="{00000000-0005-0000-0000-0000736C0000}"/>
    <cellStyle name="Total 2 3 2 3 2 2 2" xfId="32218" xr:uid="{00000000-0005-0000-0000-0000746C0000}"/>
    <cellStyle name="Total 2 3 2 3 2 3" xfId="19170" xr:uid="{00000000-0005-0000-0000-0000756C0000}"/>
    <cellStyle name="Total 2 3 2 3 3" xfId="14167" xr:uid="{00000000-0005-0000-0000-0000766C0000}"/>
    <cellStyle name="Total 2 3 2 3 3 2" xfId="28999" xr:uid="{00000000-0005-0000-0000-0000776C0000}"/>
    <cellStyle name="Total 2 3 2 3 4" xfId="11005" xr:uid="{00000000-0005-0000-0000-0000786C0000}"/>
    <cellStyle name="Total 2 3 2 3 4 2" xfId="25837" xr:uid="{00000000-0005-0000-0000-0000796C0000}"/>
    <cellStyle name="Total 2 3 2 4" xfId="4430" xr:uid="{00000000-0005-0000-0000-00007A6C0000}"/>
    <cellStyle name="Total 2 3 2 4 2" xfId="8469" xr:uid="{00000000-0005-0000-0000-00007B6C0000}"/>
    <cellStyle name="Total 2 3 2 4 2 2" xfId="17690" xr:uid="{00000000-0005-0000-0000-00007C6C0000}"/>
    <cellStyle name="Total 2 3 2 4 2 2 2" xfId="32522" xr:uid="{00000000-0005-0000-0000-00007D6C0000}"/>
    <cellStyle name="Total 2 3 2 4 2 3" xfId="19372" xr:uid="{00000000-0005-0000-0000-00007E6C0000}"/>
    <cellStyle name="Total 2 3 2 4 3" xfId="14759" xr:uid="{00000000-0005-0000-0000-00007F6C0000}"/>
    <cellStyle name="Total 2 3 2 4 3 2" xfId="29591" xr:uid="{00000000-0005-0000-0000-0000806C0000}"/>
    <cellStyle name="Total 2 3 2 4 4" xfId="11298" xr:uid="{00000000-0005-0000-0000-0000816C0000}"/>
    <cellStyle name="Total 2 3 2 4 4 2" xfId="26130" xr:uid="{00000000-0005-0000-0000-0000826C0000}"/>
    <cellStyle name="Total 2 3 2 5" xfId="2420" xr:uid="{00000000-0005-0000-0000-0000836C0000}"/>
    <cellStyle name="Total 2 3 2 5 2" xfId="6532" xr:uid="{00000000-0005-0000-0000-0000846C0000}"/>
    <cellStyle name="Total 2 3 2 5 2 2" xfId="16588" xr:uid="{00000000-0005-0000-0000-0000856C0000}"/>
    <cellStyle name="Total 2 3 2 5 2 2 2" xfId="31420" xr:uid="{00000000-0005-0000-0000-0000866C0000}"/>
    <cellStyle name="Total 2 3 2 5 2 3" xfId="18660" xr:uid="{00000000-0005-0000-0000-0000876C0000}"/>
    <cellStyle name="Total 2 3 2 5 3" xfId="12759" xr:uid="{00000000-0005-0000-0000-0000886C0000}"/>
    <cellStyle name="Total 2 3 2 5 3 2" xfId="27591" xr:uid="{00000000-0005-0000-0000-0000896C0000}"/>
    <cellStyle name="Total 2 3 2 5 4" xfId="10238" xr:uid="{00000000-0005-0000-0000-00008A6C0000}"/>
    <cellStyle name="Total 2 3 2 5 4 2" xfId="25070" xr:uid="{00000000-0005-0000-0000-00008B6C0000}"/>
    <cellStyle name="Total 2 3 2 6" xfId="5545" xr:uid="{00000000-0005-0000-0000-00008C6C0000}"/>
    <cellStyle name="Total 2 3 2 6 2" xfId="15780" xr:uid="{00000000-0005-0000-0000-00008D6C0000}"/>
    <cellStyle name="Total 2 3 2 6 2 2" xfId="30612" xr:uid="{00000000-0005-0000-0000-00008E6C0000}"/>
    <cellStyle name="Total 2 3 2 6 3" xfId="18302" xr:uid="{00000000-0005-0000-0000-00008F6C0000}"/>
    <cellStyle name="Total 2 3 2 7" xfId="11795" xr:uid="{00000000-0005-0000-0000-0000906C0000}"/>
    <cellStyle name="Total 2 3 2 7 2" xfId="26627" xr:uid="{00000000-0005-0000-0000-0000916C0000}"/>
    <cellStyle name="Total 2 3 2 8" xfId="9466" xr:uid="{00000000-0005-0000-0000-0000926C0000}"/>
    <cellStyle name="Total 2 3 2 8 2" xfId="19770" xr:uid="{00000000-0005-0000-0000-0000936C0000}"/>
    <cellStyle name="Total 2 3 3" xfId="1540" xr:uid="{00000000-0005-0000-0000-0000946C0000}"/>
    <cellStyle name="Total 2 3 3 2" xfId="2037" xr:uid="{00000000-0005-0000-0000-0000956C0000}"/>
    <cellStyle name="Total 2 3 3 2 2" xfId="3584" xr:uid="{00000000-0005-0000-0000-0000966C0000}"/>
    <cellStyle name="Total 2 3 3 2 2 2" xfId="7646" xr:uid="{00000000-0005-0000-0000-0000976C0000}"/>
    <cellStyle name="Total 2 3 3 2 2 2 2" xfId="17270" xr:uid="{00000000-0005-0000-0000-0000986C0000}"/>
    <cellStyle name="Total 2 3 3 2 2 2 2 2" xfId="32102" xr:uid="{00000000-0005-0000-0000-0000996C0000}"/>
    <cellStyle name="Total 2 3 3 2 2 2 3" xfId="19091" xr:uid="{00000000-0005-0000-0000-00009A6C0000}"/>
    <cellStyle name="Total 2 3 3 2 2 3" xfId="13920" xr:uid="{00000000-0005-0000-0000-00009B6C0000}"/>
    <cellStyle name="Total 2 3 3 2 2 3 2" xfId="28752" xr:uid="{00000000-0005-0000-0000-00009C6C0000}"/>
    <cellStyle name="Total 2 3 3 2 2 4" xfId="10887" xr:uid="{00000000-0005-0000-0000-00009D6C0000}"/>
    <cellStyle name="Total 2 3 3 2 2 4 2" xfId="25719" xr:uid="{00000000-0005-0000-0000-00009E6C0000}"/>
    <cellStyle name="Total 2 3 3 2 3" xfId="5005" xr:uid="{00000000-0005-0000-0000-00009F6C0000}"/>
    <cellStyle name="Total 2 3 3 2 3 2" xfId="9044" xr:uid="{00000000-0005-0000-0000-0000A06C0000}"/>
    <cellStyle name="Total 2 3 3 2 3 2 2" xfId="17982" xr:uid="{00000000-0005-0000-0000-0000A16C0000}"/>
    <cellStyle name="Total 2 3 3 2 3 2 2 2" xfId="32814" xr:uid="{00000000-0005-0000-0000-0000A26C0000}"/>
    <cellStyle name="Total 2 3 3 2 3 2 3" xfId="19564" xr:uid="{00000000-0005-0000-0000-0000A36C0000}"/>
    <cellStyle name="Total 2 3 3 2 3 3" xfId="15327" xr:uid="{00000000-0005-0000-0000-0000A46C0000}"/>
    <cellStyle name="Total 2 3 3 2 3 3 2" xfId="30159" xr:uid="{00000000-0005-0000-0000-0000A56C0000}"/>
    <cellStyle name="Total 2 3 3 2 3 4" xfId="11583" xr:uid="{00000000-0005-0000-0000-0000A66C0000}"/>
    <cellStyle name="Total 2 3 3 2 3 4 2" xfId="26415" xr:uid="{00000000-0005-0000-0000-0000A76C0000}"/>
    <cellStyle name="Total 2 3 3 2 4" xfId="2995" xr:uid="{00000000-0005-0000-0000-0000A86C0000}"/>
    <cellStyle name="Total 2 3 3 2 4 2" xfId="7075" xr:uid="{00000000-0005-0000-0000-0000A96C0000}"/>
    <cellStyle name="Total 2 3 3 2 4 2 2" xfId="16874" xr:uid="{00000000-0005-0000-0000-0000AA6C0000}"/>
    <cellStyle name="Total 2 3 3 2 4 2 2 2" xfId="31706" xr:uid="{00000000-0005-0000-0000-0000AB6C0000}"/>
    <cellStyle name="Total 2 3 3 2 4 2 3" xfId="18856" xr:uid="{00000000-0005-0000-0000-0000AC6C0000}"/>
    <cellStyle name="Total 2 3 3 2 4 3" xfId="13333" xr:uid="{00000000-0005-0000-0000-0000AD6C0000}"/>
    <cellStyle name="Total 2 3 3 2 4 3 2" xfId="28165" xr:uid="{00000000-0005-0000-0000-0000AE6C0000}"/>
    <cellStyle name="Total 2 3 3 2 4 4" xfId="10529" xr:uid="{00000000-0005-0000-0000-0000AF6C0000}"/>
    <cellStyle name="Total 2 3 3 2 4 4 2" xfId="25361" xr:uid="{00000000-0005-0000-0000-0000B06C0000}"/>
    <cellStyle name="Total 2 3 3 2 5" xfId="6167" xr:uid="{00000000-0005-0000-0000-0000B16C0000}"/>
    <cellStyle name="Total 2 3 3 2 5 2" xfId="16354" xr:uid="{00000000-0005-0000-0000-0000B26C0000}"/>
    <cellStyle name="Total 2 3 3 2 5 2 2" xfId="31186" xr:uid="{00000000-0005-0000-0000-0000B36C0000}"/>
    <cellStyle name="Total 2 3 3 2 5 3" xfId="18497" xr:uid="{00000000-0005-0000-0000-0000B46C0000}"/>
    <cellStyle name="Total 2 3 3 2 6" xfId="12424" xr:uid="{00000000-0005-0000-0000-0000B56C0000}"/>
    <cellStyle name="Total 2 3 3 2 6 2" xfId="27256" xr:uid="{00000000-0005-0000-0000-0000B66C0000}"/>
    <cellStyle name="Total 2 3 3 2 7" xfId="10006" xr:uid="{00000000-0005-0000-0000-0000B76C0000}"/>
    <cellStyle name="Total 2 3 3 2 7 2" xfId="24838" xr:uid="{00000000-0005-0000-0000-0000B86C0000}"/>
    <cellStyle name="Total 2 3 3 3" xfId="4333" xr:uid="{00000000-0005-0000-0000-0000B96C0000}"/>
    <cellStyle name="Total 2 3 3 3 2" xfId="8372" xr:uid="{00000000-0005-0000-0000-0000BA6C0000}"/>
    <cellStyle name="Total 2 3 3 3 2 2" xfId="17650" xr:uid="{00000000-0005-0000-0000-0000BB6C0000}"/>
    <cellStyle name="Total 2 3 3 3 2 2 2" xfId="32482" xr:uid="{00000000-0005-0000-0000-0000BC6C0000}"/>
    <cellStyle name="Total 2 3 3 3 2 3" xfId="19349" xr:uid="{00000000-0005-0000-0000-0000BD6C0000}"/>
    <cellStyle name="Total 2 3 3 3 3" xfId="14664" xr:uid="{00000000-0005-0000-0000-0000BE6C0000}"/>
    <cellStyle name="Total 2 3 3 3 3 2" xfId="29496" xr:uid="{00000000-0005-0000-0000-0000BF6C0000}"/>
    <cellStyle name="Total 2 3 3 3 4" xfId="11260" xr:uid="{00000000-0005-0000-0000-0000C06C0000}"/>
    <cellStyle name="Total 2 3 3 3 4 2" xfId="26092" xr:uid="{00000000-0005-0000-0000-0000C16C0000}"/>
    <cellStyle name="Total 2 3 3 4" xfId="4585" xr:uid="{00000000-0005-0000-0000-0000C26C0000}"/>
    <cellStyle name="Total 2 3 3 4 2" xfId="8624" xr:uid="{00000000-0005-0000-0000-0000C36C0000}"/>
    <cellStyle name="Total 2 3 3 4 2 2" xfId="17742" xr:uid="{00000000-0005-0000-0000-0000C46C0000}"/>
    <cellStyle name="Total 2 3 3 4 2 2 2" xfId="32574" xr:uid="{00000000-0005-0000-0000-0000C56C0000}"/>
    <cellStyle name="Total 2 3 3 4 2 3" xfId="19404" xr:uid="{00000000-0005-0000-0000-0000C66C0000}"/>
    <cellStyle name="Total 2 3 3 4 3" xfId="14912" xr:uid="{00000000-0005-0000-0000-0000C76C0000}"/>
    <cellStyle name="Total 2 3 3 4 3 2" xfId="29744" xr:uid="{00000000-0005-0000-0000-0000C86C0000}"/>
    <cellStyle name="Total 2 3 3 4 4" xfId="11348" xr:uid="{00000000-0005-0000-0000-0000C96C0000}"/>
    <cellStyle name="Total 2 3 3 4 4 2" xfId="26180" xr:uid="{00000000-0005-0000-0000-0000CA6C0000}"/>
    <cellStyle name="Total 2 3 3 5" xfId="2575" xr:uid="{00000000-0005-0000-0000-0000CB6C0000}"/>
    <cellStyle name="Total 2 3 3 5 2" xfId="6681" xr:uid="{00000000-0005-0000-0000-0000CC6C0000}"/>
    <cellStyle name="Total 2 3 3 5 2 2" xfId="16639" xr:uid="{00000000-0005-0000-0000-0000CD6C0000}"/>
    <cellStyle name="Total 2 3 3 5 2 2 2" xfId="31471" xr:uid="{00000000-0005-0000-0000-0000CE6C0000}"/>
    <cellStyle name="Total 2 3 3 5 2 3" xfId="18692" xr:uid="{00000000-0005-0000-0000-0000CF6C0000}"/>
    <cellStyle name="Total 2 3 3 5 3" xfId="12913" xr:uid="{00000000-0005-0000-0000-0000D06C0000}"/>
    <cellStyle name="Total 2 3 3 5 3 2" xfId="27745" xr:uid="{00000000-0005-0000-0000-0000D16C0000}"/>
    <cellStyle name="Total 2 3 3 5 4" xfId="10289" xr:uid="{00000000-0005-0000-0000-0000D26C0000}"/>
    <cellStyle name="Total 2 3 3 5 4 2" xfId="25121" xr:uid="{00000000-0005-0000-0000-0000D36C0000}"/>
    <cellStyle name="Total 2 3 3 6" xfId="5698" xr:uid="{00000000-0005-0000-0000-0000D46C0000}"/>
    <cellStyle name="Total 2 3 3 6 2" xfId="15933" xr:uid="{00000000-0005-0000-0000-0000D56C0000}"/>
    <cellStyle name="Total 2 3 3 6 2 2" xfId="30765" xr:uid="{00000000-0005-0000-0000-0000D66C0000}"/>
    <cellStyle name="Total 2 3 3 6 3" xfId="18334" xr:uid="{00000000-0005-0000-0000-0000D76C0000}"/>
    <cellStyle name="Total 2 3 3 7" xfId="11953" xr:uid="{00000000-0005-0000-0000-0000D86C0000}"/>
    <cellStyle name="Total 2 3 3 7 2" xfId="26785" xr:uid="{00000000-0005-0000-0000-0000D96C0000}"/>
    <cellStyle name="Total 2 3 3 8" xfId="9611" xr:uid="{00000000-0005-0000-0000-0000DA6C0000}"/>
    <cellStyle name="Total 2 3 3 8 2" xfId="19913" xr:uid="{00000000-0005-0000-0000-0000DB6C0000}"/>
    <cellStyle name="Total 2 3 4" xfId="1593" xr:uid="{00000000-0005-0000-0000-0000DC6C0000}"/>
    <cellStyle name="Total 2 3 4 2" xfId="2090" xr:uid="{00000000-0005-0000-0000-0000DD6C0000}"/>
    <cellStyle name="Total 2 3 4 2 2" xfId="3412" xr:uid="{00000000-0005-0000-0000-0000DE6C0000}"/>
    <cellStyle name="Total 2 3 4 2 2 2" xfId="7475" xr:uid="{00000000-0005-0000-0000-0000DF6C0000}"/>
    <cellStyle name="Total 2 3 4 2 2 2 2" xfId="17174" xr:uid="{00000000-0005-0000-0000-0000E06C0000}"/>
    <cellStyle name="Total 2 3 4 2 2 2 2 2" xfId="32006" xr:uid="{00000000-0005-0000-0000-0000E16C0000}"/>
    <cellStyle name="Total 2 3 4 2 2 2 3" xfId="19024" xr:uid="{00000000-0005-0000-0000-0000E26C0000}"/>
    <cellStyle name="Total 2 3 4 2 2 3" xfId="13749" xr:uid="{00000000-0005-0000-0000-0000E36C0000}"/>
    <cellStyle name="Total 2 3 4 2 2 3 2" xfId="28581" xr:uid="{00000000-0005-0000-0000-0000E46C0000}"/>
    <cellStyle name="Total 2 3 4 2 2 4" xfId="10793" xr:uid="{00000000-0005-0000-0000-0000E56C0000}"/>
    <cellStyle name="Total 2 3 4 2 2 4 2" xfId="25625" xr:uid="{00000000-0005-0000-0000-0000E66C0000}"/>
    <cellStyle name="Total 2 3 4 2 3" xfId="5058" xr:uid="{00000000-0005-0000-0000-0000E76C0000}"/>
    <cellStyle name="Total 2 3 4 2 3 2" xfId="9097" xr:uid="{00000000-0005-0000-0000-0000E86C0000}"/>
    <cellStyle name="Total 2 3 4 2 3 2 2" xfId="18030" xr:uid="{00000000-0005-0000-0000-0000E96C0000}"/>
    <cellStyle name="Total 2 3 4 2 3 2 2 2" xfId="32862" xr:uid="{00000000-0005-0000-0000-0000EA6C0000}"/>
    <cellStyle name="Total 2 3 4 2 3 2 3" xfId="19596" xr:uid="{00000000-0005-0000-0000-0000EB6C0000}"/>
    <cellStyle name="Total 2 3 4 2 3 3" xfId="15379" xr:uid="{00000000-0005-0000-0000-0000EC6C0000}"/>
    <cellStyle name="Total 2 3 4 2 3 3 2" xfId="30211" xr:uid="{00000000-0005-0000-0000-0000ED6C0000}"/>
    <cellStyle name="Total 2 3 4 2 3 4" xfId="11630" xr:uid="{00000000-0005-0000-0000-0000EE6C0000}"/>
    <cellStyle name="Total 2 3 4 2 3 4 2" xfId="26462" xr:uid="{00000000-0005-0000-0000-0000EF6C0000}"/>
    <cellStyle name="Total 2 3 4 2 4" xfId="3048" xr:uid="{00000000-0005-0000-0000-0000F06C0000}"/>
    <cellStyle name="Total 2 3 4 2 4 2" xfId="7123" xr:uid="{00000000-0005-0000-0000-0000F16C0000}"/>
    <cellStyle name="Total 2 3 4 2 4 2 2" xfId="16921" xr:uid="{00000000-0005-0000-0000-0000F26C0000}"/>
    <cellStyle name="Total 2 3 4 2 4 2 2 2" xfId="31753" xr:uid="{00000000-0005-0000-0000-0000F36C0000}"/>
    <cellStyle name="Total 2 3 4 2 4 2 3" xfId="18889" xr:uid="{00000000-0005-0000-0000-0000F46C0000}"/>
    <cellStyle name="Total 2 3 4 2 4 3" xfId="13386" xr:uid="{00000000-0005-0000-0000-0000F56C0000}"/>
    <cellStyle name="Total 2 3 4 2 4 3 2" xfId="28218" xr:uid="{00000000-0005-0000-0000-0000F66C0000}"/>
    <cellStyle name="Total 2 3 4 2 4 4" xfId="10577" xr:uid="{00000000-0005-0000-0000-0000F76C0000}"/>
    <cellStyle name="Total 2 3 4 2 4 4 2" xfId="25409" xr:uid="{00000000-0005-0000-0000-0000F86C0000}"/>
    <cellStyle name="Total 2 3 4 2 5" xfId="6215" xr:uid="{00000000-0005-0000-0000-0000F96C0000}"/>
    <cellStyle name="Total 2 3 4 2 5 2" xfId="16401" xr:uid="{00000000-0005-0000-0000-0000FA6C0000}"/>
    <cellStyle name="Total 2 3 4 2 5 2 2" xfId="31233" xr:uid="{00000000-0005-0000-0000-0000FB6C0000}"/>
    <cellStyle name="Total 2 3 4 2 5 3" xfId="18530" xr:uid="{00000000-0005-0000-0000-0000FC6C0000}"/>
    <cellStyle name="Total 2 3 4 2 6" xfId="12471" xr:uid="{00000000-0005-0000-0000-0000FD6C0000}"/>
    <cellStyle name="Total 2 3 4 2 6 2" xfId="27303" xr:uid="{00000000-0005-0000-0000-0000FE6C0000}"/>
    <cellStyle name="Total 2 3 4 2 7" xfId="10053" xr:uid="{00000000-0005-0000-0000-0000FF6C0000}"/>
    <cellStyle name="Total 2 3 4 2 7 2" xfId="24885" xr:uid="{00000000-0005-0000-0000-0000006D0000}"/>
    <cellStyle name="Total 2 3 4 3" xfId="4319" xr:uid="{00000000-0005-0000-0000-0000016D0000}"/>
    <cellStyle name="Total 2 3 4 3 2" xfId="8358" xr:uid="{00000000-0005-0000-0000-0000026D0000}"/>
    <cellStyle name="Total 2 3 4 3 2 2" xfId="17636" xr:uid="{00000000-0005-0000-0000-0000036D0000}"/>
    <cellStyle name="Total 2 3 4 3 2 2 2" xfId="32468" xr:uid="{00000000-0005-0000-0000-0000046D0000}"/>
    <cellStyle name="Total 2 3 4 3 2 3" xfId="19338" xr:uid="{00000000-0005-0000-0000-0000056D0000}"/>
    <cellStyle name="Total 2 3 4 3 3" xfId="14650" xr:uid="{00000000-0005-0000-0000-0000066D0000}"/>
    <cellStyle name="Total 2 3 4 3 3 2" xfId="29482" xr:uid="{00000000-0005-0000-0000-0000076D0000}"/>
    <cellStyle name="Total 2 3 4 3 4" xfId="11246" xr:uid="{00000000-0005-0000-0000-0000086D0000}"/>
    <cellStyle name="Total 2 3 4 3 4 2" xfId="26078" xr:uid="{00000000-0005-0000-0000-0000096D0000}"/>
    <cellStyle name="Total 2 3 4 4" xfId="4638" xr:uid="{00000000-0005-0000-0000-00000A6D0000}"/>
    <cellStyle name="Total 2 3 4 4 2" xfId="8677" xr:uid="{00000000-0005-0000-0000-00000B6D0000}"/>
    <cellStyle name="Total 2 3 4 4 2 2" xfId="17790" xr:uid="{00000000-0005-0000-0000-00000C6D0000}"/>
    <cellStyle name="Total 2 3 4 4 2 2 2" xfId="32622" xr:uid="{00000000-0005-0000-0000-00000D6D0000}"/>
    <cellStyle name="Total 2 3 4 4 2 3" xfId="19436" xr:uid="{00000000-0005-0000-0000-00000E6D0000}"/>
    <cellStyle name="Total 2 3 4 4 3" xfId="14964" xr:uid="{00000000-0005-0000-0000-00000F6D0000}"/>
    <cellStyle name="Total 2 3 4 4 3 2" xfId="29796" xr:uid="{00000000-0005-0000-0000-0000106D0000}"/>
    <cellStyle name="Total 2 3 4 4 4" xfId="11395" xr:uid="{00000000-0005-0000-0000-0000116D0000}"/>
    <cellStyle name="Total 2 3 4 4 4 2" xfId="26227" xr:uid="{00000000-0005-0000-0000-0000126D0000}"/>
    <cellStyle name="Total 2 3 4 5" xfId="2628" xr:uid="{00000000-0005-0000-0000-0000136D0000}"/>
    <cellStyle name="Total 2 3 4 5 2" xfId="6729" xr:uid="{00000000-0005-0000-0000-0000146D0000}"/>
    <cellStyle name="Total 2 3 4 5 2 2" xfId="16686" xr:uid="{00000000-0005-0000-0000-0000156D0000}"/>
    <cellStyle name="Total 2 3 4 5 2 2 2" xfId="31518" xr:uid="{00000000-0005-0000-0000-0000166D0000}"/>
    <cellStyle name="Total 2 3 4 5 2 3" xfId="18725" xr:uid="{00000000-0005-0000-0000-0000176D0000}"/>
    <cellStyle name="Total 2 3 4 5 3" xfId="12966" xr:uid="{00000000-0005-0000-0000-0000186D0000}"/>
    <cellStyle name="Total 2 3 4 5 3 2" xfId="27798" xr:uid="{00000000-0005-0000-0000-0000196D0000}"/>
    <cellStyle name="Total 2 3 4 5 4" xfId="10337" xr:uid="{00000000-0005-0000-0000-00001A6D0000}"/>
    <cellStyle name="Total 2 3 4 5 4 2" xfId="25169" xr:uid="{00000000-0005-0000-0000-00001B6D0000}"/>
    <cellStyle name="Total 2 3 4 6" xfId="5745" xr:uid="{00000000-0005-0000-0000-00001C6D0000}"/>
    <cellStyle name="Total 2 3 4 6 2" xfId="15980" xr:uid="{00000000-0005-0000-0000-00001D6D0000}"/>
    <cellStyle name="Total 2 3 4 6 2 2" xfId="30812" xr:uid="{00000000-0005-0000-0000-00001E6D0000}"/>
    <cellStyle name="Total 2 3 4 6 3" xfId="18366" xr:uid="{00000000-0005-0000-0000-00001F6D0000}"/>
    <cellStyle name="Total 2 3 4 7" xfId="12000" xr:uid="{00000000-0005-0000-0000-0000206D0000}"/>
    <cellStyle name="Total 2 3 4 7 2" xfId="26832" xr:uid="{00000000-0005-0000-0000-0000216D0000}"/>
    <cellStyle name="Total 2 3 4 8" xfId="9659" xr:uid="{00000000-0005-0000-0000-0000226D0000}"/>
    <cellStyle name="Total 2 3 4 8 2" xfId="19960" xr:uid="{00000000-0005-0000-0000-0000236D0000}"/>
    <cellStyle name="Total 2 3 5" xfId="1643" xr:uid="{00000000-0005-0000-0000-0000246D0000}"/>
    <cellStyle name="Total 2 3 5 2" xfId="2140" xr:uid="{00000000-0005-0000-0000-0000256D0000}"/>
    <cellStyle name="Total 2 3 5 2 2" xfId="3595" xr:uid="{00000000-0005-0000-0000-0000266D0000}"/>
    <cellStyle name="Total 2 3 5 2 2 2" xfId="7657" xr:uid="{00000000-0005-0000-0000-0000276D0000}"/>
    <cellStyle name="Total 2 3 5 2 2 2 2" xfId="17276" xr:uid="{00000000-0005-0000-0000-0000286D0000}"/>
    <cellStyle name="Total 2 3 5 2 2 2 2 2" xfId="32108" xr:uid="{00000000-0005-0000-0000-0000296D0000}"/>
    <cellStyle name="Total 2 3 5 2 2 2 3" xfId="19095" xr:uid="{00000000-0005-0000-0000-00002A6D0000}"/>
    <cellStyle name="Total 2 3 5 2 2 3" xfId="13931" xr:uid="{00000000-0005-0000-0000-00002B6D0000}"/>
    <cellStyle name="Total 2 3 5 2 2 3 2" xfId="28763" xr:uid="{00000000-0005-0000-0000-00002C6D0000}"/>
    <cellStyle name="Total 2 3 5 2 2 4" xfId="10893" xr:uid="{00000000-0005-0000-0000-00002D6D0000}"/>
    <cellStyle name="Total 2 3 5 2 2 4 2" xfId="25725" xr:uid="{00000000-0005-0000-0000-00002E6D0000}"/>
    <cellStyle name="Total 2 3 5 2 3" xfId="5108" xr:uid="{00000000-0005-0000-0000-00002F6D0000}"/>
    <cellStyle name="Total 2 3 5 2 3 2" xfId="9147" xr:uid="{00000000-0005-0000-0000-0000306D0000}"/>
    <cellStyle name="Total 2 3 5 2 3 2 2" xfId="18075" xr:uid="{00000000-0005-0000-0000-0000316D0000}"/>
    <cellStyle name="Total 2 3 5 2 3 2 2 2" xfId="32907" xr:uid="{00000000-0005-0000-0000-0000326D0000}"/>
    <cellStyle name="Total 2 3 5 2 3 2 3" xfId="19628" xr:uid="{00000000-0005-0000-0000-0000336D0000}"/>
    <cellStyle name="Total 2 3 5 2 3 3" xfId="15428" xr:uid="{00000000-0005-0000-0000-0000346D0000}"/>
    <cellStyle name="Total 2 3 5 2 3 3 2" xfId="30260" xr:uid="{00000000-0005-0000-0000-0000356D0000}"/>
    <cellStyle name="Total 2 3 5 2 3 4" xfId="11674" xr:uid="{00000000-0005-0000-0000-0000366D0000}"/>
    <cellStyle name="Total 2 3 5 2 3 4 2" xfId="26506" xr:uid="{00000000-0005-0000-0000-0000376D0000}"/>
    <cellStyle name="Total 2 3 5 2 4" xfId="3098" xr:uid="{00000000-0005-0000-0000-0000386D0000}"/>
    <cellStyle name="Total 2 3 5 2 4 2" xfId="7168" xr:uid="{00000000-0005-0000-0000-0000396D0000}"/>
    <cellStyle name="Total 2 3 5 2 4 2 2" xfId="16965" xr:uid="{00000000-0005-0000-0000-00003A6D0000}"/>
    <cellStyle name="Total 2 3 5 2 4 2 2 2" xfId="31797" xr:uid="{00000000-0005-0000-0000-00003B6D0000}"/>
    <cellStyle name="Total 2 3 5 2 4 2 3" xfId="18922" xr:uid="{00000000-0005-0000-0000-00003C6D0000}"/>
    <cellStyle name="Total 2 3 5 2 4 3" xfId="13436" xr:uid="{00000000-0005-0000-0000-00003D6D0000}"/>
    <cellStyle name="Total 2 3 5 2 4 3 2" xfId="28268" xr:uid="{00000000-0005-0000-0000-00003E6D0000}"/>
    <cellStyle name="Total 2 3 5 2 4 4" xfId="10622" xr:uid="{00000000-0005-0000-0000-00003F6D0000}"/>
    <cellStyle name="Total 2 3 5 2 4 4 2" xfId="25454" xr:uid="{00000000-0005-0000-0000-0000406D0000}"/>
    <cellStyle name="Total 2 3 5 2 5" xfId="6260" xr:uid="{00000000-0005-0000-0000-0000416D0000}"/>
    <cellStyle name="Total 2 3 5 2 5 2" xfId="16445" xr:uid="{00000000-0005-0000-0000-0000426D0000}"/>
    <cellStyle name="Total 2 3 5 2 5 2 2" xfId="31277" xr:uid="{00000000-0005-0000-0000-0000436D0000}"/>
    <cellStyle name="Total 2 3 5 2 5 3" xfId="18563" xr:uid="{00000000-0005-0000-0000-0000446D0000}"/>
    <cellStyle name="Total 2 3 5 2 6" xfId="12515" xr:uid="{00000000-0005-0000-0000-0000456D0000}"/>
    <cellStyle name="Total 2 3 5 2 6 2" xfId="27347" xr:uid="{00000000-0005-0000-0000-0000466D0000}"/>
    <cellStyle name="Total 2 3 5 2 7" xfId="10097" xr:uid="{00000000-0005-0000-0000-0000476D0000}"/>
    <cellStyle name="Total 2 3 5 2 7 2" xfId="24929" xr:uid="{00000000-0005-0000-0000-0000486D0000}"/>
    <cellStyle name="Total 2 3 5 3" xfId="4021" xr:uid="{00000000-0005-0000-0000-0000496D0000}"/>
    <cellStyle name="Total 2 3 5 3 2" xfId="8068" xr:uid="{00000000-0005-0000-0000-00004A6D0000}"/>
    <cellStyle name="Total 2 3 5 3 2 2" xfId="17479" xr:uid="{00000000-0005-0000-0000-00004B6D0000}"/>
    <cellStyle name="Total 2 3 5 3 2 2 2" xfId="32311" xr:uid="{00000000-0005-0000-0000-00004C6D0000}"/>
    <cellStyle name="Total 2 3 5 3 2 3" xfId="19237" xr:uid="{00000000-0005-0000-0000-00004D6D0000}"/>
    <cellStyle name="Total 2 3 5 3 3" xfId="14353" xr:uid="{00000000-0005-0000-0000-00004E6D0000}"/>
    <cellStyle name="Total 2 3 5 3 3 2" xfId="29185" xr:uid="{00000000-0005-0000-0000-00004F6D0000}"/>
    <cellStyle name="Total 2 3 5 3 4" xfId="11095" xr:uid="{00000000-0005-0000-0000-0000506D0000}"/>
    <cellStyle name="Total 2 3 5 3 4 2" xfId="25927" xr:uid="{00000000-0005-0000-0000-0000516D0000}"/>
    <cellStyle name="Total 2 3 5 4" xfId="4688" xr:uid="{00000000-0005-0000-0000-0000526D0000}"/>
    <cellStyle name="Total 2 3 5 4 2" xfId="8727" xr:uid="{00000000-0005-0000-0000-0000536D0000}"/>
    <cellStyle name="Total 2 3 5 4 2 2" xfId="17835" xr:uid="{00000000-0005-0000-0000-0000546D0000}"/>
    <cellStyle name="Total 2 3 5 4 2 2 2" xfId="32667" xr:uid="{00000000-0005-0000-0000-0000556D0000}"/>
    <cellStyle name="Total 2 3 5 4 2 3" xfId="19468" xr:uid="{00000000-0005-0000-0000-0000566D0000}"/>
    <cellStyle name="Total 2 3 5 4 3" xfId="15013" xr:uid="{00000000-0005-0000-0000-0000576D0000}"/>
    <cellStyle name="Total 2 3 5 4 3 2" xfId="29845" xr:uid="{00000000-0005-0000-0000-0000586D0000}"/>
    <cellStyle name="Total 2 3 5 4 4" xfId="11439" xr:uid="{00000000-0005-0000-0000-0000596D0000}"/>
    <cellStyle name="Total 2 3 5 4 4 2" xfId="26271" xr:uid="{00000000-0005-0000-0000-00005A6D0000}"/>
    <cellStyle name="Total 2 3 5 5" xfId="2678" xr:uid="{00000000-0005-0000-0000-00005B6D0000}"/>
    <cellStyle name="Total 2 3 5 5 2" xfId="6774" xr:uid="{00000000-0005-0000-0000-00005C6D0000}"/>
    <cellStyle name="Total 2 3 5 5 2 2" xfId="16730" xr:uid="{00000000-0005-0000-0000-00005D6D0000}"/>
    <cellStyle name="Total 2 3 5 5 2 2 2" xfId="31562" xr:uid="{00000000-0005-0000-0000-00005E6D0000}"/>
    <cellStyle name="Total 2 3 5 5 2 3" xfId="18758" xr:uid="{00000000-0005-0000-0000-00005F6D0000}"/>
    <cellStyle name="Total 2 3 5 5 3" xfId="13016" xr:uid="{00000000-0005-0000-0000-0000606D0000}"/>
    <cellStyle name="Total 2 3 5 5 3 2" xfId="27848" xr:uid="{00000000-0005-0000-0000-0000616D0000}"/>
    <cellStyle name="Total 2 3 5 5 4" xfId="10382" xr:uid="{00000000-0005-0000-0000-0000626D0000}"/>
    <cellStyle name="Total 2 3 5 5 4 2" xfId="25214" xr:uid="{00000000-0005-0000-0000-0000636D0000}"/>
    <cellStyle name="Total 2 3 5 6" xfId="5790" xr:uid="{00000000-0005-0000-0000-0000646D0000}"/>
    <cellStyle name="Total 2 3 5 6 2" xfId="16024" xr:uid="{00000000-0005-0000-0000-0000656D0000}"/>
    <cellStyle name="Total 2 3 5 6 2 2" xfId="30856" xr:uid="{00000000-0005-0000-0000-0000666D0000}"/>
    <cellStyle name="Total 2 3 5 6 3" xfId="18399" xr:uid="{00000000-0005-0000-0000-0000676D0000}"/>
    <cellStyle name="Total 2 3 5 7" xfId="12044" xr:uid="{00000000-0005-0000-0000-0000686D0000}"/>
    <cellStyle name="Total 2 3 5 7 2" xfId="26876" xr:uid="{00000000-0005-0000-0000-0000696D0000}"/>
    <cellStyle name="Total 2 3 5 8" xfId="9704" xr:uid="{00000000-0005-0000-0000-00006A6D0000}"/>
    <cellStyle name="Total 2 3 5 8 2" xfId="20004" xr:uid="{00000000-0005-0000-0000-00006B6D0000}"/>
    <cellStyle name="Total 2 3 6" xfId="1794" xr:uid="{00000000-0005-0000-0000-00006C6D0000}"/>
    <cellStyle name="Total 2 3 6 2" xfId="3884" xr:uid="{00000000-0005-0000-0000-00006D6D0000}"/>
    <cellStyle name="Total 2 3 6 2 2" xfId="7935" xr:uid="{00000000-0005-0000-0000-00006E6D0000}"/>
    <cellStyle name="Total 2 3 6 2 2 2" xfId="17410" xr:uid="{00000000-0005-0000-0000-00006F6D0000}"/>
    <cellStyle name="Total 2 3 6 2 2 2 2" xfId="32242" xr:uid="{00000000-0005-0000-0000-0000706D0000}"/>
    <cellStyle name="Total 2 3 6 2 2 3" xfId="19186" xr:uid="{00000000-0005-0000-0000-0000716D0000}"/>
    <cellStyle name="Total 2 3 6 2 3" xfId="14218" xr:uid="{00000000-0005-0000-0000-0000726D0000}"/>
    <cellStyle name="Total 2 3 6 2 3 2" xfId="29050" xr:uid="{00000000-0005-0000-0000-0000736D0000}"/>
    <cellStyle name="Total 2 3 6 2 4" xfId="11027" xr:uid="{00000000-0005-0000-0000-0000746D0000}"/>
    <cellStyle name="Total 2 3 6 2 4 2" xfId="25859" xr:uid="{00000000-0005-0000-0000-0000756D0000}"/>
    <cellStyle name="Total 2 3 6 3" xfId="4772" xr:uid="{00000000-0005-0000-0000-0000766D0000}"/>
    <cellStyle name="Total 2 3 6 3 2" xfId="8811" xr:uid="{00000000-0005-0000-0000-0000776D0000}"/>
    <cellStyle name="Total 2 3 6 3 2 2" xfId="17883" xr:uid="{00000000-0005-0000-0000-0000786D0000}"/>
    <cellStyle name="Total 2 3 6 3 2 2 2" xfId="32715" xr:uid="{00000000-0005-0000-0000-0000796D0000}"/>
    <cellStyle name="Total 2 3 6 3 2 3" xfId="19500" xr:uid="{00000000-0005-0000-0000-00007A6D0000}"/>
    <cellStyle name="Total 2 3 6 3 3" xfId="15096" xr:uid="{00000000-0005-0000-0000-00007B6D0000}"/>
    <cellStyle name="Total 2 3 6 3 3 2" xfId="29928" xr:uid="{00000000-0005-0000-0000-00007C6D0000}"/>
    <cellStyle name="Total 2 3 6 3 4" xfId="11486" xr:uid="{00000000-0005-0000-0000-00007D6D0000}"/>
    <cellStyle name="Total 2 3 6 3 4 2" xfId="26318" xr:uid="{00000000-0005-0000-0000-00007E6D0000}"/>
    <cellStyle name="Total 2 3 6 4" xfId="2762" xr:uid="{00000000-0005-0000-0000-00007F6D0000}"/>
    <cellStyle name="Total 2 3 6 4 2" xfId="6853" xr:uid="{00000000-0005-0000-0000-0000806D0000}"/>
    <cellStyle name="Total 2 3 6 4 2 2" xfId="16777" xr:uid="{00000000-0005-0000-0000-0000816D0000}"/>
    <cellStyle name="Total 2 3 6 4 2 2 2" xfId="31609" xr:uid="{00000000-0005-0000-0000-0000826D0000}"/>
    <cellStyle name="Total 2 3 6 4 2 3" xfId="18791" xr:uid="{00000000-0005-0000-0000-0000836D0000}"/>
    <cellStyle name="Total 2 3 6 4 3" xfId="13100" xr:uid="{00000000-0005-0000-0000-0000846D0000}"/>
    <cellStyle name="Total 2 3 6 4 3 2" xfId="27932" xr:uid="{00000000-0005-0000-0000-0000856D0000}"/>
    <cellStyle name="Total 2 3 6 4 4" xfId="10430" xr:uid="{00000000-0005-0000-0000-0000866D0000}"/>
    <cellStyle name="Total 2 3 6 4 4 2" xfId="25262" xr:uid="{00000000-0005-0000-0000-0000876D0000}"/>
    <cellStyle name="Total 2 3 6 5" xfId="5926" xr:uid="{00000000-0005-0000-0000-0000886D0000}"/>
    <cellStyle name="Total 2 3 6 5 2" xfId="16118" xr:uid="{00000000-0005-0000-0000-0000896D0000}"/>
    <cellStyle name="Total 2 3 6 5 2 2" xfId="30950" xr:uid="{00000000-0005-0000-0000-00008A6D0000}"/>
    <cellStyle name="Total 2 3 6 5 3" xfId="18433" xr:uid="{00000000-0005-0000-0000-00008B6D0000}"/>
    <cellStyle name="Total 2 3 6 6" xfId="12188" xr:uid="{00000000-0005-0000-0000-00008C6D0000}"/>
    <cellStyle name="Total 2 3 6 6 2" xfId="27020" xr:uid="{00000000-0005-0000-0000-00008D6D0000}"/>
    <cellStyle name="Total 2 3 6 7" xfId="9784" xr:uid="{00000000-0005-0000-0000-00008E6D0000}"/>
    <cellStyle name="Total 2 3 6 7 2" xfId="24741" xr:uid="{00000000-0005-0000-0000-00008F6D0000}"/>
    <cellStyle name="Total 2 3 7" xfId="2172" xr:uid="{00000000-0005-0000-0000-0000906D0000}"/>
    <cellStyle name="Total 2 3 7 2" xfId="3539" xr:uid="{00000000-0005-0000-0000-0000916D0000}"/>
    <cellStyle name="Total 2 3 7 2 2" xfId="7601" xr:uid="{00000000-0005-0000-0000-0000926D0000}"/>
    <cellStyle name="Total 2 3 7 2 2 2" xfId="17245" xr:uid="{00000000-0005-0000-0000-0000936D0000}"/>
    <cellStyle name="Total 2 3 7 2 2 2 2" xfId="32077" xr:uid="{00000000-0005-0000-0000-0000946D0000}"/>
    <cellStyle name="Total 2 3 7 2 2 3" xfId="19071" xr:uid="{00000000-0005-0000-0000-0000956D0000}"/>
    <cellStyle name="Total 2 3 7 2 3" xfId="13875" xr:uid="{00000000-0005-0000-0000-0000966D0000}"/>
    <cellStyle name="Total 2 3 7 2 3 2" xfId="28707" xr:uid="{00000000-0005-0000-0000-0000976D0000}"/>
    <cellStyle name="Total 2 3 7 2 4" xfId="10862" xr:uid="{00000000-0005-0000-0000-0000986D0000}"/>
    <cellStyle name="Total 2 3 7 2 4 2" xfId="25694" xr:uid="{00000000-0005-0000-0000-0000996D0000}"/>
    <cellStyle name="Total 2 3 7 3" xfId="5140" xr:uid="{00000000-0005-0000-0000-00009A6D0000}"/>
    <cellStyle name="Total 2 3 7 3 2" xfId="9179" xr:uid="{00000000-0005-0000-0000-00009B6D0000}"/>
    <cellStyle name="Total 2 3 7 3 2 2" xfId="18102" xr:uid="{00000000-0005-0000-0000-00009C6D0000}"/>
    <cellStyle name="Total 2 3 7 3 2 2 2" xfId="32934" xr:uid="{00000000-0005-0000-0000-00009D6D0000}"/>
    <cellStyle name="Total 2 3 7 3 2 3" xfId="19653" xr:uid="{00000000-0005-0000-0000-00009E6D0000}"/>
    <cellStyle name="Total 2 3 7 3 3" xfId="15458" xr:uid="{00000000-0005-0000-0000-00009F6D0000}"/>
    <cellStyle name="Total 2 3 7 3 3 2" xfId="30290" xr:uid="{00000000-0005-0000-0000-0000A06D0000}"/>
    <cellStyle name="Total 2 3 7 3 4" xfId="11699" xr:uid="{00000000-0005-0000-0000-0000A16D0000}"/>
    <cellStyle name="Total 2 3 7 3 4 2" xfId="26531" xr:uid="{00000000-0005-0000-0000-0000A26D0000}"/>
    <cellStyle name="Total 2 3 7 4" xfId="4170" xr:uid="{00000000-0005-0000-0000-0000A36D0000}"/>
    <cellStyle name="Total 2 3 7 4 2" xfId="8211" xr:uid="{00000000-0005-0000-0000-0000A46D0000}"/>
    <cellStyle name="Total 2 3 7 4 2 2" xfId="17558" xr:uid="{00000000-0005-0000-0000-0000A56D0000}"/>
    <cellStyle name="Total 2 3 7 4 2 2 2" xfId="32390" xr:uid="{00000000-0005-0000-0000-0000A66D0000}"/>
    <cellStyle name="Total 2 3 7 4 2 3" xfId="19296" xr:uid="{00000000-0005-0000-0000-0000A76D0000}"/>
    <cellStyle name="Total 2 3 7 4 3" xfId="14502" xr:uid="{00000000-0005-0000-0000-0000A86D0000}"/>
    <cellStyle name="Total 2 3 7 4 3 2" xfId="29334" xr:uid="{00000000-0005-0000-0000-0000A96D0000}"/>
    <cellStyle name="Total 2 3 7 4 4" xfId="11178" xr:uid="{00000000-0005-0000-0000-0000AA6D0000}"/>
    <cellStyle name="Total 2 3 7 4 4 2" xfId="26010" xr:uid="{00000000-0005-0000-0000-0000AB6D0000}"/>
    <cellStyle name="Total 2 3 7 5" xfId="6286" xr:uid="{00000000-0005-0000-0000-0000AC6D0000}"/>
    <cellStyle name="Total 2 3 7 5 2" xfId="16470" xr:uid="{00000000-0005-0000-0000-0000AD6D0000}"/>
    <cellStyle name="Total 2 3 7 5 2 2" xfId="31302" xr:uid="{00000000-0005-0000-0000-0000AE6D0000}"/>
    <cellStyle name="Total 2 3 7 5 3" xfId="18589" xr:uid="{00000000-0005-0000-0000-0000AF6D0000}"/>
    <cellStyle name="Total 2 3 7 6" xfId="12540" xr:uid="{00000000-0005-0000-0000-0000B06D0000}"/>
    <cellStyle name="Total 2 3 7 6 2" xfId="27372" xr:uid="{00000000-0005-0000-0000-0000B16D0000}"/>
    <cellStyle name="Total 2 3 7 7" xfId="10122" xr:uid="{00000000-0005-0000-0000-0000B26D0000}"/>
    <cellStyle name="Total 2 3 7 7 2" xfId="24954" xr:uid="{00000000-0005-0000-0000-0000B36D0000}"/>
    <cellStyle name="Total 2 3 8" xfId="3319" xr:uid="{00000000-0005-0000-0000-0000B46D0000}"/>
    <cellStyle name="Total 2 3 8 2" xfId="7382" xr:uid="{00000000-0005-0000-0000-0000B56D0000}"/>
    <cellStyle name="Total 2 3 8 2 2" xfId="17116" xr:uid="{00000000-0005-0000-0000-0000B66D0000}"/>
    <cellStyle name="Total 2 3 8 2 2 2" xfId="31948" xr:uid="{00000000-0005-0000-0000-0000B76D0000}"/>
    <cellStyle name="Total 2 3 8 2 3" xfId="18996" xr:uid="{00000000-0005-0000-0000-0000B86D0000}"/>
    <cellStyle name="Total 2 3 8 3" xfId="13656" xr:uid="{00000000-0005-0000-0000-0000B96D0000}"/>
    <cellStyle name="Total 2 3 8 3 2" xfId="28488" xr:uid="{00000000-0005-0000-0000-0000BA6D0000}"/>
    <cellStyle name="Total 2 3 8 4" xfId="10737" xr:uid="{00000000-0005-0000-0000-0000BB6D0000}"/>
    <cellStyle name="Total 2 3 8 4 2" xfId="25569" xr:uid="{00000000-0005-0000-0000-0000BC6D0000}"/>
    <cellStyle name="Total 2 3 9" xfId="4309" xr:uid="{00000000-0005-0000-0000-0000BD6D0000}"/>
    <cellStyle name="Total 2 3 9 2" xfId="8348" xr:uid="{00000000-0005-0000-0000-0000BE6D0000}"/>
    <cellStyle name="Total 2 3 9 2 2" xfId="17627" xr:uid="{00000000-0005-0000-0000-0000BF6D0000}"/>
    <cellStyle name="Total 2 3 9 2 2 2" xfId="32459" xr:uid="{00000000-0005-0000-0000-0000C06D0000}"/>
    <cellStyle name="Total 2 3 9 2 3" xfId="19330" xr:uid="{00000000-0005-0000-0000-0000C16D0000}"/>
    <cellStyle name="Total 2 3 9 3" xfId="14640" xr:uid="{00000000-0005-0000-0000-0000C26D0000}"/>
    <cellStyle name="Total 2 3 9 3 2" xfId="29472" xr:uid="{00000000-0005-0000-0000-0000C36D0000}"/>
    <cellStyle name="Total 2 3 9 4" xfId="11237" xr:uid="{00000000-0005-0000-0000-0000C46D0000}"/>
    <cellStyle name="Total 2 3 9 4 2" xfId="26069" xr:uid="{00000000-0005-0000-0000-0000C56D0000}"/>
    <cellStyle name="Total 2 4" xfId="1270" xr:uid="{00000000-0005-0000-0000-0000C66D0000}"/>
    <cellStyle name="Total 2 4 10" xfId="2337" xr:uid="{00000000-0005-0000-0000-0000C76D0000}"/>
    <cellStyle name="Total 2 4 10 2" xfId="6449" xr:uid="{00000000-0005-0000-0000-0000C86D0000}"/>
    <cellStyle name="Total 2 4 10 2 2" xfId="16541" xr:uid="{00000000-0005-0000-0000-0000C96D0000}"/>
    <cellStyle name="Total 2 4 10 2 2 2" xfId="31373" xr:uid="{00000000-0005-0000-0000-0000CA6D0000}"/>
    <cellStyle name="Total 2 4 10 2 3" xfId="18629" xr:uid="{00000000-0005-0000-0000-0000CB6D0000}"/>
    <cellStyle name="Total 2 4 10 3" xfId="12677" xr:uid="{00000000-0005-0000-0000-0000CC6D0000}"/>
    <cellStyle name="Total 2 4 10 3 2" xfId="27509" xr:uid="{00000000-0005-0000-0000-0000CD6D0000}"/>
    <cellStyle name="Total 2 4 10 4" xfId="10192" xr:uid="{00000000-0005-0000-0000-0000CE6D0000}"/>
    <cellStyle name="Total 2 4 10 4 2" xfId="25024" xr:uid="{00000000-0005-0000-0000-0000CF6D0000}"/>
    <cellStyle name="Total 2 4 11" xfId="5299" xr:uid="{00000000-0005-0000-0000-0000D06D0000}"/>
    <cellStyle name="Total 2 4 11 2" xfId="9307" xr:uid="{00000000-0005-0000-0000-0000D16D0000}"/>
    <cellStyle name="Total 2 4 11 2 2" xfId="18174" xr:uid="{00000000-0005-0000-0000-0000D26D0000}"/>
    <cellStyle name="Total 2 4 11 2 2 2" xfId="33006" xr:uid="{00000000-0005-0000-0000-0000D36D0000}"/>
    <cellStyle name="Total 2 4 11 2 3" xfId="19693" xr:uid="{00000000-0005-0000-0000-0000D46D0000}"/>
    <cellStyle name="Total 2 4 11 3" xfId="15615" xr:uid="{00000000-0005-0000-0000-0000D56D0000}"/>
    <cellStyle name="Total 2 4 11 3 2" xfId="30447" xr:uid="{00000000-0005-0000-0000-0000D66D0000}"/>
    <cellStyle name="Total 2 4 12" xfId="5457" xr:uid="{00000000-0005-0000-0000-0000D76D0000}"/>
    <cellStyle name="Total 2 4 12 2" xfId="15693" xr:uid="{00000000-0005-0000-0000-0000D86D0000}"/>
    <cellStyle name="Total 2 4 12 2 2" xfId="30525" xr:uid="{00000000-0005-0000-0000-0000D96D0000}"/>
    <cellStyle name="Total 2 4 12 3" xfId="18270" xr:uid="{00000000-0005-0000-0000-0000DA6D0000}"/>
    <cellStyle name="Total 2 4 13" xfId="9334" xr:uid="{00000000-0005-0000-0000-0000DB6D0000}"/>
    <cellStyle name="Total 2 4 13 2" xfId="24640" xr:uid="{00000000-0005-0000-0000-0000DC6D0000}"/>
    <cellStyle name="Total 2 4 14" xfId="5323" xr:uid="{00000000-0005-0000-0000-0000DD6D0000}"/>
    <cellStyle name="Total 2 4 14 2" xfId="18197" xr:uid="{00000000-0005-0000-0000-0000DE6D0000}"/>
    <cellStyle name="Total 2 4 2" xfId="1369" xr:uid="{00000000-0005-0000-0000-0000DF6D0000}"/>
    <cellStyle name="Total 2 4 2 2" xfId="1873" xr:uid="{00000000-0005-0000-0000-0000E06D0000}"/>
    <cellStyle name="Total 2 4 2 2 2" xfId="4121" xr:uid="{00000000-0005-0000-0000-0000E16D0000}"/>
    <cellStyle name="Total 2 4 2 2 2 2" xfId="8166" xr:uid="{00000000-0005-0000-0000-0000E26D0000}"/>
    <cellStyle name="Total 2 4 2 2 2 2 2" xfId="17528" xr:uid="{00000000-0005-0000-0000-0000E36D0000}"/>
    <cellStyle name="Total 2 4 2 2 2 2 2 2" xfId="32360" xr:uid="{00000000-0005-0000-0000-0000E46D0000}"/>
    <cellStyle name="Total 2 4 2 2 2 2 3" xfId="19273" xr:uid="{00000000-0005-0000-0000-0000E56D0000}"/>
    <cellStyle name="Total 2 4 2 2 2 3" xfId="14453" xr:uid="{00000000-0005-0000-0000-0000E66D0000}"/>
    <cellStyle name="Total 2 4 2 2 2 3 2" xfId="29285" xr:uid="{00000000-0005-0000-0000-0000E76D0000}"/>
    <cellStyle name="Total 2 4 2 2 2 4" xfId="11146" xr:uid="{00000000-0005-0000-0000-0000E86D0000}"/>
    <cellStyle name="Total 2 4 2 2 2 4 2" xfId="25978" xr:uid="{00000000-0005-0000-0000-0000E96D0000}"/>
    <cellStyle name="Total 2 4 2 2 3" xfId="4851" xr:uid="{00000000-0005-0000-0000-0000EA6D0000}"/>
    <cellStyle name="Total 2 4 2 2 3 2" xfId="8890" xr:uid="{00000000-0005-0000-0000-0000EB6D0000}"/>
    <cellStyle name="Total 2 4 2 2 3 2 2" xfId="17931" xr:uid="{00000000-0005-0000-0000-0000EC6D0000}"/>
    <cellStyle name="Total 2 4 2 2 3 2 2 2" xfId="32763" xr:uid="{00000000-0005-0000-0000-0000ED6D0000}"/>
    <cellStyle name="Total 2 4 2 2 3 2 3" xfId="19533" xr:uid="{00000000-0005-0000-0000-0000EE6D0000}"/>
    <cellStyle name="Total 2 4 2 2 3 3" xfId="15175" xr:uid="{00000000-0005-0000-0000-0000EF6D0000}"/>
    <cellStyle name="Total 2 4 2 2 3 3 2" xfId="30007" xr:uid="{00000000-0005-0000-0000-0000F06D0000}"/>
    <cellStyle name="Total 2 4 2 2 3 4" xfId="11534" xr:uid="{00000000-0005-0000-0000-0000F16D0000}"/>
    <cellStyle name="Total 2 4 2 2 3 4 2" xfId="26366" xr:uid="{00000000-0005-0000-0000-0000F26D0000}"/>
    <cellStyle name="Total 2 4 2 2 4" xfId="2841" xr:uid="{00000000-0005-0000-0000-0000F36D0000}"/>
    <cellStyle name="Total 2 4 2 2 4 2" xfId="6932" xr:uid="{00000000-0005-0000-0000-0000F46D0000}"/>
    <cellStyle name="Total 2 4 2 2 4 2 2" xfId="16825" xr:uid="{00000000-0005-0000-0000-0000F56D0000}"/>
    <cellStyle name="Total 2 4 2 2 4 2 2 2" xfId="31657" xr:uid="{00000000-0005-0000-0000-0000F66D0000}"/>
    <cellStyle name="Total 2 4 2 2 4 2 3" xfId="18824" xr:uid="{00000000-0005-0000-0000-0000F76D0000}"/>
    <cellStyle name="Total 2 4 2 2 4 3" xfId="13179" xr:uid="{00000000-0005-0000-0000-0000F86D0000}"/>
    <cellStyle name="Total 2 4 2 2 4 3 2" xfId="28011" xr:uid="{00000000-0005-0000-0000-0000F96D0000}"/>
    <cellStyle name="Total 2 4 2 2 4 4" xfId="10478" xr:uid="{00000000-0005-0000-0000-0000FA6D0000}"/>
    <cellStyle name="Total 2 4 2 2 4 4 2" xfId="25310" xr:uid="{00000000-0005-0000-0000-0000FB6D0000}"/>
    <cellStyle name="Total 2 4 2 2 5" xfId="6005" xr:uid="{00000000-0005-0000-0000-0000FC6D0000}"/>
    <cellStyle name="Total 2 4 2 2 5 2" xfId="16197" xr:uid="{00000000-0005-0000-0000-0000FD6D0000}"/>
    <cellStyle name="Total 2 4 2 2 5 2 2" xfId="31029" xr:uid="{00000000-0005-0000-0000-0000FE6D0000}"/>
    <cellStyle name="Total 2 4 2 2 5 3" xfId="18466" xr:uid="{00000000-0005-0000-0000-0000FF6D0000}"/>
    <cellStyle name="Total 2 4 2 2 6" xfId="12267" xr:uid="{00000000-0005-0000-0000-0000006E0000}"/>
    <cellStyle name="Total 2 4 2 2 6 2" xfId="27099" xr:uid="{00000000-0005-0000-0000-0000016E0000}"/>
    <cellStyle name="Total 2 4 2 2 7" xfId="9863" xr:uid="{00000000-0005-0000-0000-0000026E0000}"/>
    <cellStyle name="Total 2 4 2 2 7 2" xfId="24789" xr:uid="{00000000-0005-0000-0000-0000036E0000}"/>
    <cellStyle name="Total 2 4 2 3" xfId="3457" xr:uid="{00000000-0005-0000-0000-0000046E0000}"/>
    <cellStyle name="Total 2 4 2 3 2" xfId="7520" xr:uid="{00000000-0005-0000-0000-0000056E0000}"/>
    <cellStyle name="Total 2 4 2 3 2 2" xfId="17198" xr:uid="{00000000-0005-0000-0000-0000066E0000}"/>
    <cellStyle name="Total 2 4 2 3 2 2 2" xfId="32030" xr:uid="{00000000-0005-0000-0000-0000076E0000}"/>
    <cellStyle name="Total 2 4 2 3 2 3" xfId="19041" xr:uid="{00000000-0005-0000-0000-0000086E0000}"/>
    <cellStyle name="Total 2 4 2 3 3" xfId="13794" xr:uid="{00000000-0005-0000-0000-0000096E0000}"/>
    <cellStyle name="Total 2 4 2 3 3 2" xfId="28626" xr:uid="{00000000-0005-0000-0000-00000A6E0000}"/>
    <cellStyle name="Total 2 4 2 3 4" xfId="10817" xr:uid="{00000000-0005-0000-0000-00000B6E0000}"/>
    <cellStyle name="Total 2 4 2 3 4 2" xfId="25649" xr:uid="{00000000-0005-0000-0000-00000C6E0000}"/>
    <cellStyle name="Total 2 4 2 4" xfId="4431" xr:uid="{00000000-0005-0000-0000-00000D6E0000}"/>
    <cellStyle name="Total 2 4 2 4 2" xfId="8470" xr:uid="{00000000-0005-0000-0000-00000E6E0000}"/>
    <cellStyle name="Total 2 4 2 4 2 2" xfId="17691" xr:uid="{00000000-0005-0000-0000-00000F6E0000}"/>
    <cellStyle name="Total 2 4 2 4 2 2 2" xfId="32523" xr:uid="{00000000-0005-0000-0000-0000106E0000}"/>
    <cellStyle name="Total 2 4 2 4 2 3" xfId="19373" xr:uid="{00000000-0005-0000-0000-0000116E0000}"/>
    <cellStyle name="Total 2 4 2 4 3" xfId="14760" xr:uid="{00000000-0005-0000-0000-0000126E0000}"/>
    <cellStyle name="Total 2 4 2 4 3 2" xfId="29592" xr:uid="{00000000-0005-0000-0000-0000136E0000}"/>
    <cellStyle name="Total 2 4 2 4 4" xfId="11299" xr:uid="{00000000-0005-0000-0000-0000146E0000}"/>
    <cellStyle name="Total 2 4 2 4 4 2" xfId="26131" xr:uid="{00000000-0005-0000-0000-0000156E0000}"/>
    <cellStyle name="Total 2 4 2 5" xfId="2421" xr:uid="{00000000-0005-0000-0000-0000166E0000}"/>
    <cellStyle name="Total 2 4 2 5 2" xfId="6533" xr:uid="{00000000-0005-0000-0000-0000176E0000}"/>
    <cellStyle name="Total 2 4 2 5 2 2" xfId="16589" xr:uid="{00000000-0005-0000-0000-0000186E0000}"/>
    <cellStyle name="Total 2 4 2 5 2 2 2" xfId="31421" xr:uid="{00000000-0005-0000-0000-0000196E0000}"/>
    <cellStyle name="Total 2 4 2 5 2 3" xfId="18661" xr:uid="{00000000-0005-0000-0000-00001A6E0000}"/>
    <cellStyle name="Total 2 4 2 5 3" xfId="12760" xr:uid="{00000000-0005-0000-0000-00001B6E0000}"/>
    <cellStyle name="Total 2 4 2 5 3 2" xfId="27592" xr:uid="{00000000-0005-0000-0000-00001C6E0000}"/>
    <cellStyle name="Total 2 4 2 5 4" xfId="10239" xr:uid="{00000000-0005-0000-0000-00001D6E0000}"/>
    <cellStyle name="Total 2 4 2 5 4 2" xfId="25071" xr:uid="{00000000-0005-0000-0000-00001E6E0000}"/>
    <cellStyle name="Total 2 4 2 6" xfId="5546" xr:uid="{00000000-0005-0000-0000-00001F6E0000}"/>
    <cellStyle name="Total 2 4 2 6 2" xfId="15781" xr:uid="{00000000-0005-0000-0000-0000206E0000}"/>
    <cellStyle name="Total 2 4 2 6 2 2" xfId="30613" xr:uid="{00000000-0005-0000-0000-0000216E0000}"/>
    <cellStyle name="Total 2 4 2 6 3" xfId="18303" xr:uid="{00000000-0005-0000-0000-0000226E0000}"/>
    <cellStyle name="Total 2 4 2 7" xfId="11796" xr:uid="{00000000-0005-0000-0000-0000236E0000}"/>
    <cellStyle name="Total 2 4 2 7 2" xfId="26628" xr:uid="{00000000-0005-0000-0000-0000246E0000}"/>
    <cellStyle name="Total 2 4 2 8" xfId="9467" xr:uid="{00000000-0005-0000-0000-0000256E0000}"/>
    <cellStyle name="Total 2 4 2 8 2" xfId="19771" xr:uid="{00000000-0005-0000-0000-0000266E0000}"/>
    <cellStyle name="Total 2 4 3" xfId="1541" xr:uid="{00000000-0005-0000-0000-0000276E0000}"/>
    <cellStyle name="Total 2 4 3 2" xfId="2038" xr:uid="{00000000-0005-0000-0000-0000286E0000}"/>
    <cellStyle name="Total 2 4 3 2 2" xfId="3494" xr:uid="{00000000-0005-0000-0000-0000296E0000}"/>
    <cellStyle name="Total 2 4 3 2 2 2" xfId="7556" xr:uid="{00000000-0005-0000-0000-00002A6E0000}"/>
    <cellStyle name="Total 2 4 3 2 2 2 2" xfId="17217" xr:uid="{00000000-0005-0000-0000-00002B6E0000}"/>
    <cellStyle name="Total 2 4 3 2 2 2 2 2" xfId="32049" xr:uid="{00000000-0005-0000-0000-00002C6E0000}"/>
    <cellStyle name="Total 2 4 3 2 2 2 3" xfId="19053" xr:uid="{00000000-0005-0000-0000-00002D6E0000}"/>
    <cellStyle name="Total 2 4 3 2 2 3" xfId="13831" xr:uid="{00000000-0005-0000-0000-00002E6E0000}"/>
    <cellStyle name="Total 2 4 3 2 2 3 2" xfId="28663" xr:uid="{00000000-0005-0000-0000-00002F6E0000}"/>
    <cellStyle name="Total 2 4 3 2 2 4" xfId="10835" xr:uid="{00000000-0005-0000-0000-0000306E0000}"/>
    <cellStyle name="Total 2 4 3 2 2 4 2" xfId="25667" xr:uid="{00000000-0005-0000-0000-0000316E0000}"/>
    <cellStyle name="Total 2 4 3 2 3" xfId="5006" xr:uid="{00000000-0005-0000-0000-0000326E0000}"/>
    <cellStyle name="Total 2 4 3 2 3 2" xfId="9045" xr:uid="{00000000-0005-0000-0000-0000336E0000}"/>
    <cellStyle name="Total 2 4 3 2 3 2 2" xfId="17983" xr:uid="{00000000-0005-0000-0000-0000346E0000}"/>
    <cellStyle name="Total 2 4 3 2 3 2 2 2" xfId="32815" xr:uid="{00000000-0005-0000-0000-0000356E0000}"/>
    <cellStyle name="Total 2 4 3 2 3 2 3" xfId="19565" xr:uid="{00000000-0005-0000-0000-0000366E0000}"/>
    <cellStyle name="Total 2 4 3 2 3 3" xfId="15328" xr:uid="{00000000-0005-0000-0000-0000376E0000}"/>
    <cellStyle name="Total 2 4 3 2 3 3 2" xfId="30160" xr:uid="{00000000-0005-0000-0000-0000386E0000}"/>
    <cellStyle name="Total 2 4 3 2 3 4" xfId="11584" xr:uid="{00000000-0005-0000-0000-0000396E0000}"/>
    <cellStyle name="Total 2 4 3 2 3 4 2" xfId="26416" xr:uid="{00000000-0005-0000-0000-00003A6E0000}"/>
    <cellStyle name="Total 2 4 3 2 4" xfId="2996" xr:uid="{00000000-0005-0000-0000-00003B6E0000}"/>
    <cellStyle name="Total 2 4 3 2 4 2" xfId="7076" xr:uid="{00000000-0005-0000-0000-00003C6E0000}"/>
    <cellStyle name="Total 2 4 3 2 4 2 2" xfId="16875" xr:uid="{00000000-0005-0000-0000-00003D6E0000}"/>
    <cellStyle name="Total 2 4 3 2 4 2 2 2" xfId="31707" xr:uid="{00000000-0005-0000-0000-00003E6E0000}"/>
    <cellStyle name="Total 2 4 3 2 4 2 3" xfId="18857" xr:uid="{00000000-0005-0000-0000-00003F6E0000}"/>
    <cellStyle name="Total 2 4 3 2 4 3" xfId="13334" xr:uid="{00000000-0005-0000-0000-0000406E0000}"/>
    <cellStyle name="Total 2 4 3 2 4 3 2" xfId="28166" xr:uid="{00000000-0005-0000-0000-0000416E0000}"/>
    <cellStyle name="Total 2 4 3 2 4 4" xfId="10530" xr:uid="{00000000-0005-0000-0000-0000426E0000}"/>
    <cellStyle name="Total 2 4 3 2 4 4 2" xfId="25362" xr:uid="{00000000-0005-0000-0000-0000436E0000}"/>
    <cellStyle name="Total 2 4 3 2 5" xfId="6168" xr:uid="{00000000-0005-0000-0000-0000446E0000}"/>
    <cellStyle name="Total 2 4 3 2 5 2" xfId="16355" xr:uid="{00000000-0005-0000-0000-0000456E0000}"/>
    <cellStyle name="Total 2 4 3 2 5 2 2" xfId="31187" xr:uid="{00000000-0005-0000-0000-0000466E0000}"/>
    <cellStyle name="Total 2 4 3 2 5 3" xfId="18498" xr:uid="{00000000-0005-0000-0000-0000476E0000}"/>
    <cellStyle name="Total 2 4 3 2 6" xfId="12425" xr:uid="{00000000-0005-0000-0000-0000486E0000}"/>
    <cellStyle name="Total 2 4 3 2 6 2" xfId="27257" xr:uid="{00000000-0005-0000-0000-0000496E0000}"/>
    <cellStyle name="Total 2 4 3 2 7" xfId="10007" xr:uid="{00000000-0005-0000-0000-00004A6E0000}"/>
    <cellStyle name="Total 2 4 3 2 7 2" xfId="24839" xr:uid="{00000000-0005-0000-0000-00004B6E0000}"/>
    <cellStyle name="Total 2 4 3 3" xfId="4303" xr:uid="{00000000-0005-0000-0000-00004C6E0000}"/>
    <cellStyle name="Total 2 4 3 3 2" xfId="8342" xr:uid="{00000000-0005-0000-0000-00004D6E0000}"/>
    <cellStyle name="Total 2 4 3 3 2 2" xfId="17621" xr:uid="{00000000-0005-0000-0000-00004E6E0000}"/>
    <cellStyle name="Total 2 4 3 3 2 2 2" xfId="32453" xr:uid="{00000000-0005-0000-0000-00004F6E0000}"/>
    <cellStyle name="Total 2 4 3 3 2 3" xfId="19327" xr:uid="{00000000-0005-0000-0000-0000506E0000}"/>
    <cellStyle name="Total 2 4 3 3 3" xfId="14634" xr:uid="{00000000-0005-0000-0000-0000516E0000}"/>
    <cellStyle name="Total 2 4 3 3 3 2" xfId="29466" xr:uid="{00000000-0005-0000-0000-0000526E0000}"/>
    <cellStyle name="Total 2 4 3 3 4" xfId="11233" xr:uid="{00000000-0005-0000-0000-0000536E0000}"/>
    <cellStyle name="Total 2 4 3 3 4 2" xfId="26065" xr:uid="{00000000-0005-0000-0000-0000546E0000}"/>
    <cellStyle name="Total 2 4 3 4" xfId="4586" xr:uid="{00000000-0005-0000-0000-0000556E0000}"/>
    <cellStyle name="Total 2 4 3 4 2" xfId="8625" xr:uid="{00000000-0005-0000-0000-0000566E0000}"/>
    <cellStyle name="Total 2 4 3 4 2 2" xfId="17743" xr:uid="{00000000-0005-0000-0000-0000576E0000}"/>
    <cellStyle name="Total 2 4 3 4 2 2 2" xfId="32575" xr:uid="{00000000-0005-0000-0000-0000586E0000}"/>
    <cellStyle name="Total 2 4 3 4 2 3" xfId="19405" xr:uid="{00000000-0005-0000-0000-0000596E0000}"/>
    <cellStyle name="Total 2 4 3 4 3" xfId="14913" xr:uid="{00000000-0005-0000-0000-00005A6E0000}"/>
    <cellStyle name="Total 2 4 3 4 3 2" xfId="29745" xr:uid="{00000000-0005-0000-0000-00005B6E0000}"/>
    <cellStyle name="Total 2 4 3 4 4" xfId="11349" xr:uid="{00000000-0005-0000-0000-00005C6E0000}"/>
    <cellStyle name="Total 2 4 3 4 4 2" xfId="26181" xr:uid="{00000000-0005-0000-0000-00005D6E0000}"/>
    <cellStyle name="Total 2 4 3 5" xfId="2576" xr:uid="{00000000-0005-0000-0000-00005E6E0000}"/>
    <cellStyle name="Total 2 4 3 5 2" xfId="6682" xr:uid="{00000000-0005-0000-0000-00005F6E0000}"/>
    <cellStyle name="Total 2 4 3 5 2 2" xfId="16640" xr:uid="{00000000-0005-0000-0000-0000606E0000}"/>
    <cellStyle name="Total 2 4 3 5 2 2 2" xfId="31472" xr:uid="{00000000-0005-0000-0000-0000616E0000}"/>
    <cellStyle name="Total 2 4 3 5 2 3" xfId="18693" xr:uid="{00000000-0005-0000-0000-0000626E0000}"/>
    <cellStyle name="Total 2 4 3 5 3" xfId="12914" xr:uid="{00000000-0005-0000-0000-0000636E0000}"/>
    <cellStyle name="Total 2 4 3 5 3 2" xfId="27746" xr:uid="{00000000-0005-0000-0000-0000646E0000}"/>
    <cellStyle name="Total 2 4 3 5 4" xfId="10290" xr:uid="{00000000-0005-0000-0000-0000656E0000}"/>
    <cellStyle name="Total 2 4 3 5 4 2" xfId="25122" xr:uid="{00000000-0005-0000-0000-0000666E0000}"/>
    <cellStyle name="Total 2 4 3 6" xfId="5699" xr:uid="{00000000-0005-0000-0000-0000676E0000}"/>
    <cellStyle name="Total 2 4 3 6 2" xfId="15934" xr:uid="{00000000-0005-0000-0000-0000686E0000}"/>
    <cellStyle name="Total 2 4 3 6 2 2" xfId="30766" xr:uid="{00000000-0005-0000-0000-0000696E0000}"/>
    <cellStyle name="Total 2 4 3 6 3" xfId="18335" xr:uid="{00000000-0005-0000-0000-00006A6E0000}"/>
    <cellStyle name="Total 2 4 3 7" xfId="11954" xr:uid="{00000000-0005-0000-0000-00006B6E0000}"/>
    <cellStyle name="Total 2 4 3 7 2" xfId="26786" xr:uid="{00000000-0005-0000-0000-00006C6E0000}"/>
    <cellStyle name="Total 2 4 3 8" xfId="9612" xr:uid="{00000000-0005-0000-0000-00006D6E0000}"/>
    <cellStyle name="Total 2 4 3 8 2" xfId="19914" xr:uid="{00000000-0005-0000-0000-00006E6E0000}"/>
    <cellStyle name="Total 2 4 4" xfId="1594" xr:uid="{00000000-0005-0000-0000-00006F6E0000}"/>
    <cellStyle name="Total 2 4 4 2" xfId="2091" xr:uid="{00000000-0005-0000-0000-0000706E0000}"/>
    <cellStyle name="Total 2 4 4 2 2" xfId="3873" xr:uid="{00000000-0005-0000-0000-0000716E0000}"/>
    <cellStyle name="Total 2 4 4 2 2 2" xfId="7925" xr:uid="{00000000-0005-0000-0000-0000726E0000}"/>
    <cellStyle name="Total 2 4 4 2 2 2 2" xfId="17404" xr:uid="{00000000-0005-0000-0000-0000736E0000}"/>
    <cellStyle name="Total 2 4 4 2 2 2 2 2" xfId="32236" xr:uid="{00000000-0005-0000-0000-0000746E0000}"/>
    <cellStyle name="Total 2 4 4 2 2 2 3" xfId="19182" xr:uid="{00000000-0005-0000-0000-0000756E0000}"/>
    <cellStyle name="Total 2 4 4 2 2 3" xfId="14208" xr:uid="{00000000-0005-0000-0000-0000766E0000}"/>
    <cellStyle name="Total 2 4 4 2 2 3 2" xfId="29040" xr:uid="{00000000-0005-0000-0000-0000776E0000}"/>
    <cellStyle name="Total 2 4 4 2 2 4" xfId="11023" xr:uid="{00000000-0005-0000-0000-0000786E0000}"/>
    <cellStyle name="Total 2 4 4 2 2 4 2" xfId="25855" xr:uid="{00000000-0005-0000-0000-0000796E0000}"/>
    <cellStyle name="Total 2 4 4 2 3" xfId="5059" xr:uid="{00000000-0005-0000-0000-00007A6E0000}"/>
    <cellStyle name="Total 2 4 4 2 3 2" xfId="9098" xr:uid="{00000000-0005-0000-0000-00007B6E0000}"/>
    <cellStyle name="Total 2 4 4 2 3 2 2" xfId="18031" xr:uid="{00000000-0005-0000-0000-00007C6E0000}"/>
    <cellStyle name="Total 2 4 4 2 3 2 2 2" xfId="32863" xr:uid="{00000000-0005-0000-0000-00007D6E0000}"/>
    <cellStyle name="Total 2 4 4 2 3 2 3" xfId="19597" xr:uid="{00000000-0005-0000-0000-00007E6E0000}"/>
    <cellStyle name="Total 2 4 4 2 3 3" xfId="15380" xr:uid="{00000000-0005-0000-0000-00007F6E0000}"/>
    <cellStyle name="Total 2 4 4 2 3 3 2" xfId="30212" xr:uid="{00000000-0005-0000-0000-0000806E0000}"/>
    <cellStyle name="Total 2 4 4 2 3 4" xfId="11631" xr:uid="{00000000-0005-0000-0000-0000816E0000}"/>
    <cellStyle name="Total 2 4 4 2 3 4 2" xfId="26463" xr:uid="{00000000-0005-0000-0000-0000826E0000}"/>
    <cellStyle name="Total 2 4 4 2 4" xfId="3049" xr:uid="{00000000-0005-0000-0000-0000836E0000}"/>
    <cellStyle name="Total 2 4 4 2 4 2" xfId="7124" xr:uid="{00000000-0005-0000-0000-0000846E0000}"/>
    <cellStyle name="Total 2 4 4 2 4 2 2" xfId="16922" xr:uid="{00000000-0005-0000-0000-0000856E0000}"/>
    <cellStyle name="Total 2 4 4 2 4 2 2 2" xfId="31754" xr:uid="{00000000-0005-0000-0000-0000866E0000}"/>
    <cellStyle name="Total 2 4 4 2 4 2 3" xfId="18890" xr:uid="{00000000-0005-0000-0000-0000876E0000}"/>
    <cellStyle name="Total 2 4 4 2 4 3" xfId="13387" xr:uid="{00000000-0005-0000-0000-0000886E0000}"/>
    <cellStyle name="Total 2 4 4 2 4 3 2" xfId="28219" xr:uid="{00000000-0005-0000-0000-0000896E0000}"/>
    <cellStyle name="Total 2 4 4 2 4 4" xfId="10578" xr:uid="{00000000-0005-0000-0000-00008A6E0000}"/>
    <cellStyle name="Total 2 4 4 2 4 4 2" xfId="25410" xr:uid="{00000000-0005-0000-0000-00008B6E0000}"/>
    <cellStyle name="Total 2 4 4 2 5" xfId="6216" xr:uid="{00000000-0005-0000-0000-00008C6E0000}"/>
    <cellStyle name="Total 2 4 4 2 5 2" xfId="16402" xr:uid="{00000000-0005-0000-0000-00008D6E0000}"/>
    <cellStyle name="Total 2 4 4 2 5 2 2" xfId="31234" xr:uid="{00000000-0005-0000-0000-00008E6E0000}"/>
    <cellStyle name="Total 2 4 4 2 5 3" xfId="18531" xr:uid="{00000000-0005-0000-0000-00008F6E0000}"/>
    <cellStyle name="Total 2 4 4 2 6" xfId="12472" xr:uid="{00000000-0005-0000-0000-0000906E0000}"/>
    <cellStyle name="Total 2 4 4 2 6 2" xfId="27304" xr:uid="{00000000-0005-0000-0000-0000916E0000}"/>
    <cellStyle name="Total 2 4 4 2 7" xfId="10054" xr:uid="{00000000-0005-0000-0000-0000926E0000}"/>
    <cellStyle name="Total 2 4 4 2 7 2" xfId="24886" xr:uid="{00000000-0005-0000-0000-0000936E0000}"/>
    <cellStyle name="Total 2 4 4 3" xfId="3367" xr:uid="{00000000-0005-0000-0000-0000946E0000}"/>
    <cellStyle name="Total 2 4 4 3 2" xfId="7430" xr:uid="{00000000-0005-0000-0000-0000956E0000}"/>
    <cellStyle name="Total 2 4 4 3 2 2" xfId="17141" xr:uid="{00000000-0005-0000-0000-0000966E0000}"/>
    <cellStyle name="Total 2 4 4 3 2 2 2" xfId="31973" xr:uid="{00000000-0005-0000-0000-0000976E0000}"/>
    <cellStyle name="Total 2 4 4 3 2 3" xfId="19010" xr:uid="{00000000-0005-0000-0000-0000986E0000}"/>
    <cellStyle name="Total 2 4 4 3 3" xfId="13704" xr:uid="{00000000-0005-0000-0000-0000996E0000}"/>
    <cellStyle name="Total 2 4 4 3 3 2" xfId="28536" xr:uid="{00000000-0005-0000-0000-00009A6E0000}"/>
    <cellStyle name="Total 2 4 4 3 4" xfId="10760" xr:uid="{00000000-0005-0000-0000-00009B6E0000}"/>
    <cellStyle name="Total 2 4 4 3 4 2" xfId="25592" xr:uid="{00000000-0005-0000-0000-00009C6E0000}"/>
    <cellStyle name="Total 2 4 4 4" xfId="4639" xr:uid="{00000000-0005-0000-0000-00009D6E0000}"/>
    <cellStyle name="Total 2 4 4 4 2" xfId="8678" xr:uid="{00000000-0005-0000-0000-00009E6E0000}"/>
    <cellStyle name="Total 2 4 4 4 2 2" xfId="17791" xr:uid="{00000000-0005-0000-0000-00009F6E0000}"/>
    <cellStyle name="Total 2 4 4 4 2 2 2" xfId="32623" xr:uid="{00000000-0005-0000-0000-0000A06E0000}"/>
    <cellStyle name="Total 2 4 4 4 2 3" xfId="19437" xr:uid="{00000000-0005-0000-0000-0000A16E0000}"/>
    <cellStyle name="Total 2 4 4 4 3" xfId="14965" xr:uid="{00000000-0005-0000-0000-0000A26E0000}"/>
    <cellStyle name="Total 2 4 4 4 3 2" xfId="29797" xr:uid="{00000000-0005-0000-0000-0000A36E0000}"/>
    <cellStyle name="Total 2 4 4 4 4" xfId="11396" xr:uid="{00000000-0005-0000-0000-0000A46E0000}"/>
    <cellStyle name="Total 2 4 4 4 4 2" xfId="26228" xr:uid="{00000000-0005-0000-0000-0000A56E0000}"/>
    <cellStyle name="Total 2 4 4 5" xfId="2629" xr:uid="{00000000-0005-0000-0000-0000A66E0000}"/>
    <cellStyle name="Total 2 4 4 5 2" xfId="6730" xr:uid="{00000000-0005-0000-0000-0000A76E0000}"/>
    <cellStyle name="Total 2 4 4 5 2 2" xfId="16687" xr:uid="{00000000-0005-0000-0000-0000A86E0000}"/>
    <cellStyle name="Total 2 4 4 5 2 2 2" xfId="31519" xr:uid="{00000000-0005-0000-0000-0000A96E0000}"/>
    <cellStyle name="Total 2 4 4 5 2 3" xfId="18726" xr:uid="{00000000-0005-0000-0000-0000AA6E0000}"/>
    <cellStyle name="Total 2 4 4 5 3" xfId="12967" xr:uid="{00000000-0005-0000-0000-0000AB6E0000}"/>
    <cellStyle name="Total 2 4 4 5 3 2" xfId="27799" xr:uid="{00000000-0005-0000-0000-0000AC6E0000}"/>
    <cellStyle name="Total 2 4 4 5 4" xfId="10338" xr:uid="{00000000-0005-0000-0000-0000AD6E0000}"/>
    <cellStyle name="Total 2 4 4 5 4 2" xfId="25170" xr:uid="{00000000-0005-0000-0000-0000AE6E0000}"/>
    <cellStyle name="Total 2 4 4 6" xfId="5746" xr:uid="{00000000-0005-0000-0000-0000AF6E0000}"/>
    <cellStyle name="Total 2 4 4 6 2" xfId="15981" xr:uid="{00000000-0005-0000-0000-0000B06E0000}"/>
    <cellStyle name="Total 2 4 4 6 2 2" xfId="30813" xr:uid="{00000000-0005-0000-0000-0000B16E0000}"/>
    <cellStyle name="Total 2 4 4 6 3" xfId="18367" xr:uid="{00000000-0005-0000-0000-0000B26E0000}"/>
    <cellStyle name="Total 2 4 4 7" xfId="12001" xr:uid="{00000000-0005-0000-0000-0000B36E0000}"/>
    <cellStyle name="Total 2 4 4 7 2" xfId="26833" xr:uid="{00000000-0005-0000-0000-0000B46E0000}"/>
    <cellStyle name="Total 2 4 4 8" xfId="9660" xr:uid="{00000000-0005-0000-0000-0000B56E0000}"/>
    <cellStyle name="Total 2 4 4 8 2" xfId="19961" xr:uid="{00000000-0005-0000-0000-0000B66E0000}"/>
    <cellStyle name="Total 2 4 5" xfId="1644" xr:uid="{00000000-0005-0000-0000-0000B76E0000}"/>
    <cellStyle name="Total 2 4 5 2" xfId="2141" xr:uid="{00000000-0005-0000-0000-0000B86E0000}"/>
    <cellStyle name="Total 2 4 5 2 2" xfId="3536" xr:uid="{00000000-0005-0000-0000-0000B96E0000}"/>
    <cellStyle name="Total 2 4 5 2 2 2" xfId="7598" xr:uid="{00000000-0005-0000-0000-0000BA6E0000}"/>
    <cellStyle name="Total 2 4 5 2 2 2 2" xfId="17242" xr:uid="{00000000-0005-0000-0000-0000BB6E0000}"/>
    <cellStyle name="Total 2 4 5 2 2 2 2 2" xfId="32074" xr:uid="{00000000-0005-0000-0000-0000BC6E0000}"/>
    <cellStyle name="Total 2 4 5 2 2 2 3" xfId="19069" xr:uid="{00000000-0005-0000-0000-0000BD6E0000}"/>
    <cellStyle name="Total 2 4 5 2 2 3" xfId="13873" xr:uid="{00000000-0005-0000-0000-0000BE6E0000}"/>
    <cellStyle name="Total 2 4 5 2 2 3 2" xfId="28705" xr:uid="{00000000-0005-0000-0000-0000BF6E0000}"/>
    <cellStyle name="Total 2 4 5 2 2 4" xfId="10860" xr:uid="{00000000-0005-0000-0000-0000C06E0000}"/>
    <cellStyle name="Total 2 4 5 2 2 4 2" xfId="25692" xr:uid="{00000000-0005-0000-0000-0000C16E0000}"/>
    <cellStyle name="Total 2 4 5 2 3" xfId="5109" xr:uid="{00000000-0005-0000-0000-0000C26E0000}"/>
    <cellStyle name="Total 2 4 5 2 3 2" xfId="9148" xr:uid="{00000000-0005-0000-0000-0000C36E0000}"/>
    <cellStyle name="Total 2 4 5 2 3 2 2" xfId="18076" xr:uid="{00000000-0005-0000-0000-0000C46E0000}"/>
    <cellStyle name="Total 2 4 5 2 3 2 2 2" xfId="32908" xr:uid="{00000000-0005-0000-0000-0000C56E0000}"/>
    <cellStyle name="Total 2 4 5 2 3 2 3" xfId="19629" xr:uid="{00000000-0005-0000-0000-0000C66E0000}"/>
    <cellStyle name="Total 2 4 5 2 3 3" xfId="15429" xr:uid="{00000000-0005-0000-0000-0000C76E0000}"/>
    <cellStyle name="Total 2 4 5 2 3 3 2" xfId="30261" xr:uid="{00000000-0005-0000-0000-0000C86E0000}"/>
    <cellStyle name="Total 2 4 5 2 3 4" xfId="11675" xr:uid="{00000000-0005-0000-0000-0000C96E0000}"/>
    <cellStyle name="Total 2 4 5 2 3 4 2" xfId="26507" xr:uid="{00000000-0005-0000-0000-0000CA6E0000}"/>
    <cellStyle name="Total 2 4 5 2 4" xfId="3099" xr:uid="{00000000-0005-0000-0000-0000CB6E0000}"/>
    <cellStyle name="Total 2 4 5 2 4 2" xfId="7169" xr:uid="{00000000-0005-0000-0000-0000CC6E0000}"/>
    <cellStyle name="Total 2 4 5 2 4 2 2" xfId="16966" xr:uid="{00000000-0005-0000-0000-0000CD6E0000}"/>
    <cellStyle name="Total 2 4 5 2 4 2 2 2" xfId="31798" xr:uid="{00000000-0005-0000-0000-0000CE6E0000}"/>
    <cellStyle name="Total 2 4 5 2 4 2 3" xfId="18923" xr:uid="{00000000-0005-0000-0000-0000CF6E0000}"/>
    <cellStyle name="Total 2 4 5 2 4 3" xfId="13437" xr:uid="{00000000-0005-0000-0000-0000D06E0000}"/>
    <cellStyle name="Total 2 4 5 2 4 3 2" xfId="28269" xr:uid="{00000000-0005-0000-0000-0000D16E0000}"/>
    <cellStyle name="Total 2 4 5 2 4 4" xfId="10623" xr:uid="{00000000-0005-0000-0000-0000D26E0000}"/>
    <cellStyle name="Total 2 4 5 2 4 4 2" xfId="25455" xr:uid="{00000000-0005-0000-0000-0000D36E0000}"/>
    <cellStyle name="Total 2 4 5 2 5" xfId="6261" xr:uid="{00000000-0005-0000-0000-0000D46E0000}"/>
    <cellStyle name="Total 2 4 5 2 5 2" xfId="16446" xr:uid="{00000000-0005-0000-0000-0000D56E0000}"/>
    <cellStyle name="Total 2 4 5 2 5 2 2" xfId="31278" xr:uid="{00000000-0005-0000-0000-0000D66E0000}"/>
    <cellStyle name="Total 2 4 5 2 5 3" xfId="18564" xr:uid="{00000000-0005-0000-0000-0000D76E0000}"/>
    <cellStyle name="Total 2 4 5 2 6" xfId="12516" xr:uid="{00000000-0005-0000-0000-0000D86E0000}"/>
    <cellStyle name="Total 2 4 5 2 6 2" xfId="27348" xr:uid="{00000000-0005-0000-0000-0000D96E0000}"/>
    <cellStyle name="Total 2 4 5 2 7" xfId="10098" xr:uid="{00000000-0005-0000-0000-0000DA6E0000}"/>
    <cellStyle name="Total 2 4 5 2 7 2" xfId="24930" xr:uid="{00000000-0005-0000-0000-0000DB6E0000}"/>
    <cellStyle name="Total 2 4 5 3" xfId="3574" xr:uid="{00000000-0005-0000-0000-0000DC6E0000}"/>
    <cellStyle name="Total 2 4 5 3 2" xfId="7636" xr:uid="{00000000-0005-0000-0000-0000DD6E0000}"/>
    <cellStyle name="Total 2 4 5 3 2 2" xfId="17264" xr:uid="{00000000-0005-0000-0000-0000DE6E0000}"/>
    <cellStyle name="Total 2 4 5 3 2 2 2" xfId="32096" xr:uid="{00000000-0005-0000-0000-0000DF6E0000}"/>
    <cellStyle name="Total 2 4 5 3 2 3" xfId="19087" xr:uid="{00000000-0005-0000-0000-0000E06E0000}"/>
    <cellStyle name="Total 2 4 5 3 3" xfId="13910" xr:uid="{00000000-0005-0000-0000-0000E16E0000}"/>
    <cellStyle name="Total 2 4 5 3 3 2" xfId="28742" xr:uid="{00000000-0005-0000-0000-0000E26E0000}"/>
    <cellStyle name="Total 2 4 5 3 4" xfId="10881" xr:uid="{00000000-0005-0000-0000-0000E36E0000}"/>
    <cellStyle name="Total 2 4 5 3 4 2" xfId="25713" xr:uid="{00000000-0005-0000-0000-0000E46E0000}"/>
    <cellStyle name="Total 2 4 5 4" xfId="4689" xr:uid="{00000000-0005-0000-0000-0000E56E0000}"/>
    <cellStyle name="Total 2 4 5 4 2" xfId="8728" xr:uid="{00000000-0005-0000-0000-0000E66E0000}"/>
    <cellStyle name="Total 2 4 5 4 2 2" xfId="17836" xr:uid="{00000000-0005-0000-0000-0000E76E0000}"/>
    <cellStyle name="Total 2 4 5 4 2 2 2" xfId="32668" xr:uid="{00000000-0005-0000-0000-0000E86E0000}"/>
    <cellStyle name="Total 2 4 5 4 2 3" xfId="19469" xr:uid="{00000000-0005-0000-0000-0000E96E0000}"/>
    <cellStyle name="Total 2 4 5 4 3" xfId="15014" xr:uid="{00000000-0005-0000-0000-0000EA6E0000}"/>
    <cellStyle name="Total 2 4 5 4 3 2" xfId="29846" xr:uid="{00000000-0005-0000-0000-0000EB6E0000}"/>
    <cellStyle name="Total 2 4 5 4 4" xfId="11440" xr:uid="{00000000-0005-0000-0000-0000EC6E0000}"/>
    <cellStyle name="Total 2 4 5 4 4 2" xfId="26272" xr:uid="{00000000-0005-0000-0000-0000ED6E0000}"/>
    <cellStyle name="Total 2 4 5 5" xfId="2679" xr:uid="{00000000-0005-0000-0000-0000EE6E0000}"/>
    <cellStyle name="Total 2 4 5 5 2" xfId="6775" xr:uid="{00000000-0005-0000-0000-0000EF6E0000}"/>
    <cellStyle name="Total 2 4 5 5 2 2" xfId="16731" xr:uid="{00000000-0005-0000-0000-0000F06E0000}"/>
    <cellStyle name="Total 2 4 5 5 2 2 2" xfId="31563" xr:uid="{00000000-0005-0000-0000-0000F16E0000}"/>
    <cellStyle name="Total 2 4 5 5 2 3" xfId="18759" xr:uid="{00000000-0005-0000-0000-0000F26E0000}"/>
    <cellStyle name="Total 2 4 5 5 3" xfId="13017" xr:uid="{00000000-0005-0000-0000-0000F36E0000}"/>
    <cellStyle name="Total 2 4 5 5 3 2" xfId="27849" xr:uid="{00000000-0005-0000-0000-0000F46E0000}"/>
    <cellStyle name="Total 2 4 5 5 4" xfId="10383" xr:uid="{00000000-0005-0000-0000-0000F56E0000}"/>
    <cellStyle name="Total 2 4 5 5 4 2" xfId="25215" xr:uid="{00000000-0005-0000-0000-0000F66E0000}"/>
    <cellStyle name="Total 2 4 5 6" xfId="5791" xr:uid="{00000000-0005-0000-0000-0000F76E0000}"/>
    <cellStyle name="Total 2 4 5 6 2" xfId="16025" xr:uid="{00000000-0005-0000-0000-0000F86E0000}"/>
    <cellStyle name="Total 2 4 5 6 2 2" xfId="30857" xr:uid="{00000000-0005-0000-0000-0000F96E0000}"/>
    <cellStyle name="Total 2 4 5 6 3" xfId="18400" xr:uid="{00000000-0005-0000-0000-0000FA6E0000}"/>
    <cellStyle name="Total 2 4 5 7" xfId="12045" xr:uid="{00000000-0005-0000-0000-0000FB6E0000}"/>
    <cellStyle name="Total 2 4 5 7 2" xfId="26877" xr:uid="{00000000-0005-0000-0000-0000FC6E0000}"/>
    <cellStyle name="Total 2 4 5 8" xfId="9705" xr:uid="{00000000-0005-0000-0000-0000FD6E0000}"/>
    <cellStyle name="Total 2 4 5 8 2" xfId="20005" xr:uid="{00000000-0005-0000-0000-0000FE6E0000}"/>
    <cellStyle name="Total 2 4 6" xfId="1795" xr:uid="{00000000-0005-0000-0000-0000FF6E0000}"/>
    <cellStyle name="Total 2 4 6 2" xfId="3953" xr:uid="{00000000-0005-0000-0000-0000006F0000}"/>
    <cellStyle name="Total 2 4 6 2 2" xfId="8003" xr:uid="{00000000-0005-0000-0000-0000016F0000}"/>
    <cellStyle name="Total 2 4 6 2 2 2" xfId="17445" xr:uid="{00000000-0005-0000-0000-0000026F0000}"/>
    <cellStyle name="Total 2 4 6 2 2 2 2" xfId="32277" xr:uid="{00000000-0005-0000-0000-0000036F0000}"/>
    <cellStyle name="Total 2 4 6 2 2 3" xfId="19212" xr:uid="{00000000-0005-0000-0000-0000046F0000}"/>
    <cellStyle name="Total 2 4 6 2 3" xfId="14286" xr:uid="{00000000-0005-0000-0000-0000056F0000}"/>
    <cellStyle name="Total 2 4 6 2 3 2" xfId="29118" xr:uid="{00000000-0005-0000-0000-0000066F0000}"/>
    <cellStyle name="Total 2 4 6 2 4" xfId="11060" xr:uid="{00000000-0005-0000-0000-0000076F0000}"/>
    <cellStyle name="Total 2 4 6 2 4 2" xfId="25892" xr:uid="{00000000-0005-0000-0000-0000086F0000}"/>
    <cellStyle name="Total 2 4 6 3" xfId="4773" xr:uid="{00000000-0005-0000-0000-0000096F0000}"/>
    <cellStyle name="Total 2 4 6 3 2" xfId="8812" xr:uid="{00000000-0005-0000-0000-00000A6F0000}"/>
    <cellStyle name="Total 2 4 6 3 2 2" xfId="17884" xr:uid="{00000000-0005-0000-0000-00000B6F0000}"/>
    <cellStyle name="Total 2 4 6 3 2 2 2" xfId="32716" xr:uid="{00000000-0005-0000-0000-00000C6F0000}"/>
    <cellStyle name="Total 2 4 6 3 2 3" xfId="19501" xr:uid="{00000000-0005-0000-0000-00000D6F0000}"/>
    <cellStyle name="Total 2 4 6 3 3" xfId="15097" xr:uid="{00000000-0005-0000-0000-00000E6F0000}"/>
    <cellStyle name="Total 2 4 6 3 3 2" xfId="29929" xr:uid="{00000000-0005-0000-0000-00000F6F0000}"/>
    <cellStyle name="Total 2 4 6 3 4" xfId="11487" xr:uid="{00000000-0005-0000-0000-0000106F0000}"/>
    <cellStyle name="Total 2 4 6 3 4 2" xfId="26319" xr:uid="{00000000-0005-0000-0000-0000116F0000}"/>
    <cellStyle name="Total 2 4 6 4" xfId="2763" xr:uid="{00000000-0005-0000-0000-0000126F0000}"/>
    <cellStyle name="Total 2 4 6 4 2" xfId="6854" xr:uid="{00000000-0005-0000-0000-0000136F0000}"/>
    <cellStyle name="Total 2 4 6 4 2 2" xfId="16778" xr:uid="{00000000-0005-0000-0000-0000146F0000}"/>
    <cellStyle name="Total 2 4 6 4 2 2 2" xfId="31610" xr:uid="{00000000-0005-0000-0000-0000156F0000}"/>
    <cellStyle name="Total 2 4 6 4 2 3" xfId="18792" xr:uid="{00000000-0005-0000-0000-0000166F0000}"/>
    <cellStyle name="Total 2 4 6 4 3" xfId="13101" xr:uid="{00000000-0005-0000-0000-0000176F0000}"/>
    <cellStyle name="Total 2 4 6 4 3 2" xfId="27933" xr:uid="{00000000-0005-0000-0000-0000186F0000}"/>
    <cellStyle name="Total 2 4 6 4 4" xfId="10431" xr:uid="{00000000-0005-0000-0000-0000196F0000}"/>
    <cellStyle name="Total 2 4 6 4 4 2" xfId="25263" xr:uid="{00000000-0005-0000-0000-00001A6F0000}"/>
    <cellStyle name="Total 2 4 6 5" xfId="5927" xr:uid="{00000000-0005-0000-0000-00001B6F0000}"/>
    <cellStyle name="Total 2 4 6 5 2" xfId="16119" xr:uid="{00000000-0005-0000-0000-00001C6F0000}"/>
    <cellStyle name="Total 2 4 6 5 2 2" xfId="30951" xr:uid="{00000000-0005-0000-0000-00001D6F0000}"/>
    <cellStyle name="Total 2 4 6 5 3" xfId="18434" xr:uid="{00000000-0005-0000-0000-00001E6F0000}"/>
    <cellStyle name="Total 2 4 6 6" xfId="12189" xr:uid="{00000000-0005-0000-0000-00001F6F0000}"/>
    <cellStyle name="Total 2 4 6 6 2" xfId="27021" xr:uid="{00000000-0005-0000-0000-0000206F0000}"/>
    <cellStyle name="Total 2 4 6 7" xfId="9785" xr:uid="{00000000-0005-0000-0000-0000216F0000}"/>
    <cellStyle name="Total 2 4 6 7 2" xfId="24742" xr:uid="{00000000-0005-0000-0000-0000226F0000}"/>
    <cellStyle name="Total 2 4 7" xfId="2171" xr:uid="{00000000-0005-0000-0000-0000236F0000}"/>
    <cellStyle name="Total 2 4 7 2" xfId="3762" xr:uid="{00000000-0005-0000-0000-0000246F0000}"/>
    <cellStyle name="Total 2 4 7 2 2" xfId="7818" xr:uid="{00000000-0005-0000-0000-0000256F0000}"/>
    <cellStyle name="Total 2 4 7 2 2 2" xfId="17353" xr:uid="{00000000-0005-0000-0000-0000266F0000}"/>
    <cellStyle name="Total 2 4 7 2 2 2 2" xfId="32185" xr:uid="{00000000-0005-0000-0000-0000276F0000}"/>
    <cellStyle name="Total 2 4 7 2 2 3" xfId="19147" xr:uid="{00000000-0005-0000-0000-0000286F0000}"/>
    <cellStyle name="Total 2 4 7 2 3" xfId="14097" xr:uid="{00000000-0005-0000-0000-0000296F0000}"/>
    <cellStyle name="Total 2 4 7 2 3 2" xfId="28929" xr:uid="{00000000-0005-0000-0000-00002A6F0000}"/>
    <cellStyle name="Total 2 4 7 2 4" xfId="10969" xr:uid="{00000000-0005-0000-0000-00002B6F0000}"/>
    <cellStyle name="Total 2 4 7 2 4 2" xfId="25801" xr:uid="{00000000-0005-0000-0000-00002C6F0000}"/>
    <cellStyle name="Total 2 4 7 3" xfId="5139" xr:uid="{00000000-0005-0000-0000-00002D6F0000}"/>
    <cellStyle name="Total 2 4 7 3 2" xfId="9178" xr:uid="{00000000-0005-0000-0000-00002E6F0000}"/>
    <cellStyle name="Total 2 4 7 3 2 2" xfId="18101" xr:uid="{00000000-0005-0000-0000-00002F6F0000}"/>
    <cellStyle name="Total 2 4 7 3 2 2 2" xfId="32933" xr:uid="{00000000-0005-0000-0000-0000306F0000}"/>
    <cellStyle name="Total 2 4 7 3 2 3" xfId="19652" xr:uid="{00000000-0005-0000-0000-0000316F0000}"/>
    <cellStyle name="Total 2 4 7 3 3" xfId="15457" xr:uid="{00000000-0005-0000-0000-0000326F0000}"/>
    <cellStyle name="Total 2 4 7 3 3 2" xfId="30289" xr:uid="{00000000-0005-0000-0000-0000336F0000}"/>
    <cellStyle name="Total 2 4 7 3 4" xfId="11698" xr:uid="{00000000-0005-0000-0000-0000346F0000}"/>
    <cellStyle name="Total 2 4 7 3 4 2" xfId="26530" xr:uid="{00000000-0005-0000-0000-0000356F0000}"/>
    <cellStyle name="Total 2 4 7 4" xfId="4169" xr:uid="{00000000-0005-0000-0000-0000366F0000}"/>
    <cellStyle name="Total 2 4 7 4 2" xfId="8210" xr:uid="{00000000-0005-0000-0000-0000376F0000}"/>
    <cellStyle name="Total 2 4 7 4 2 2" xfId="17557" xr:uid="{00000000-0005-0000-0000-0000386F0000}"/>
    <cellStyle name="Total 2 4 7 4 2 2 2" xfId="32389" xr:uid="{00000000-0005-0000-0000-0000396F0000}"/>
    <cellStyle name="Total 2 4 7 4 2 3" xfId="19295" xr:uid="{00000000-0005-0000-0000-00003A6F0000}"/>
    <cellStyle name="Total 2 4 7 4 3" xfId="14501" xr:uid="{00000000-0005-0000-0000-00003B6F0000}"/>
    <cellStyle name="Total 2 4 7 4 3 2" xfId="29333" xr:uid="{00000000-0005-0000-0000-00003C6F0000}"/>
    <cellStyle name="Total 2 4 7 4 4" xfId="11177" xr:uid="{00000000-0005-0000-0000-00003D6F0000}"/>
    <cellStyle name="Total 2 4 7 4 4 2" xfId="26009" xr:uid="{00000000-0005-0000-0000-00003E6F0000}"/>
    <cellStyle name="Total 2 4 7 5" xfId="6285" xr:uid="{00000000-0005-0000-0000-00003F6F0000}"/>
    <cellStyle name="Total 2 4 7 5 2" xfId="16469" xr:uid="{00000000-0005-0000-0000-0000406F0000}"/>
    <cellStyle name="Total 2 4 7 5 2 2" xfId="31301" xr:uid="{00000000-0005-0000-0000-0000416F0000}"/>
    <cellStyle name="Total 2 4 7 5 3" xfId="18588" xr:uid="{00000000-0005-0000-0000-0000426F0000}"/>
    <cellStyle name="Total 2 4 7 6" xfId="12539" xr:uid="{00000000-0005-0000-0000-0000436F0000}"/>
    <cellStyle name="Total 2 4 7 6 2" xfId="27371" xr:uid="{00000000-0005-0000-0000-0000446F0000}"/>
    <cellStyle name="Total 2 4 7 7" xfId="10121" xr:uid="{00000000-0005-0000-0000-0000456F0000}"/>
    <cellStyle name="Total 2 4 7 7 2" xfId="24953" xr:uid="{00000000-0005-0000-0000-0000466F0000}"/>
    <cellStyle name="Total 2 4 8" xfId="3369" xr:uid="{00000000-0005-0000-0000-0000476F0000}"/>
    <cellStyle name="Total 2 4 8 2" xfId="7432" xr:uid="{00000000-0005-0000-0000-0000486F0000}"/>
    <cellStyle name="Total 2 4 8 2 2" xfId="17143" xr:uid="{00000000-0005-0000-0000-0000496F0000}"/>
    <cellStyle name="Total 2 4 8 2 2 2" xfId="31975" xr:uid="{00000000-0005-0000-0000-00004A6F0000}"/>
    <cellStyle name="Total 2 4 8 2 3" xfId="19012" xr:uid="{00000000-0005-0000-0000-00004B6F0000}"/>
    <cellStyle name="Total 2 4 8 3" xfId="13706" xr:uid="{00000000-0005-0000-0000-00004C6F0000}"/>
    <cellStyle name="Total 2 4 8 3 2" xfId="28538" xr:uid="{00000000-0005-0000-0000-00004D6F0000}"/>
    <cellStyle name="Total 2 4 8 4" xfId="10762" xr:uid="{00000000-0005-0000-0000-00004E6F0000}"/>
    <cellStyle name="Total 2 4 8 4 2" xfId="25594" xr:uid="{00000000-0005-0000-0000-00004F6F0000}"/>
    <cellStyle name="Total 2 4 9" xfId="3230" xr:uid="{00000000-0005-0000-0000-0000506F0000}"/>
    <cellStyle name="Total 2 4 9 2" xfId="7294" xr:uid="{00000000-0005-0000-0000-0000516F0000}"/>
    <cellStyle name="Total 2 4 9 2 2" xfId="17054" xr:uid="{00000000-0005-0000-0000-0000526F0000}"/>
    <cellStyle name="Total 2 4 9 2 2 2" xfId="31886" xr:uid="{00000000-0005-0000-0000-0000536F0000}"/>
    <cellStyle name="Total 2 4 9 2 3" xfId="18970" xr:uid="{00000000-0005-0000-0000-0000546F0000}"/>
    <cellStyle name="Total 2 4 9 3" xfId="13568" xr:uid="{00000000-0005-0000-0000-0000556F0000}"/>
    <cellStyle name="Total 2 4 9 3 2" xfId="28400" xr:uid="{00000000-0005-0000-0000-0000566F0000}"/>
    <cellStyle name="Total 2 4 9 4" xfId="10694" xr:uid="{00000000-0005-0000-0000-0000576F0000}"/>
    <cellStyle name="Total 2 4 9 4 2" xfId="25526" xr:uid="{00000000-0005-0000-0000-0000586F0000}"/>
    <cellStyle name="Total 2 5" xfId="1271" xr:uid="{00000000-0005-0000-0000-0000596F0000}"/>
    <cellStyle name="Total 2 5 10" xfId="2338" xr:uid="{00000000-0005-0000-0000-00005A6F0000}"/>
    <cellStyle name="Total 2 5 10 2" xfId="6450" xr:uid="{00000000-0005-0000-0000-00005B6F0000}"/>
    <cellStyle name="Total 2 5 10 2 2" xfId="16542" xr:uid="{00000000-0005-0000-0000-00005C6F0000}"/>
    <cellStyle name="Total 2 5 10 2 2 2" xfId="31374" xr:uid="{00000000-0005-0000-0000-00005D6F0000}"/>
    <cellStyle name="Total 2 5 10 2 3" xfId="18630" xr:uid="{00000000-0005-0000-0000-00005E6F0000}"/>
    <cellStyle name="Total 2 5 10 3" xfId="12678" xr:uid="{00000000-0005-0000-0000-00005F6F0000}"/>
    <cellStyle name="Total 2 5 10 3 2" xfId="27510" xr:uid="{00000000-0005-0000-0000-0000606F0000}"/>
    <cellStyle name="Total 2 5 10 4" xfId="10193" xr:uid="{00000000-0005-0000-0000-0000616F0000}"/>
    <cellStyle name="Total 2 5 10 4 2" xfId="25025" xr:uid="{00000000-0005-0000-0000-0000626F0000}"/>
    <cellStyle name="Total 2 5 11" xfId="5300" xr:uid="{00000000-0005-0000-0000-0000636F0000}"/>
    <cellStyle name="Total 2 5 11 2" xfId="9308" xr:uid="{00000000-0005-0000-0000-0000646F0000}"/>
    <cellStyle name="Total 2 5 11 2 2" xfId="18175" xr:uid="{00000000-0005-0000-0000-0000656F0000}"/>
    <cellStyle name="Total 2 5 11 2 2 2" xfId="33007" xr:uid="{00000000-0005-0000-0000-0000666F0000}"/>
    <cellStyle name="Total 2 5 11 2 3" xfId="19694" xr:uid="{00000000-0005-0000-0000-0000676F0000}"/>
    <cellStyle name="Total 2 5 11 3" xfId="15616" xr:uid="{00000000-0005-0000-0000-0000686F0000}"/>
    <cellStyle name="Total 2 5 11 3 2" xfId="30448" xr:uid="{00000000-0005-0000-0000-0000696F0000}"/>
    <cellStyle name="Total 2 5 12" xfId="5458" xr:uid="{00000000-0005-0000-0000-00006A6F0000}"/>
    <cellStyle name="Total 2 5 12 2" xfId="15694" xr:uid="{00000000-0005-0000-0000-00006B6F0000}"/>
    <cellStyle name="Total 2 5 12 2 2" xfId="30526" xr:uid="{00000000-0005-0000-0000-00006C6F0000}"/>
    <cellStyle name="Total 2 5 12 3" xfId="18271" xr:uid="{00000000-0005-0000-0000-00006D6F0000}"/>
    <cellStyle name="Total 2 5 13" xfId="9333" xr:uid="{00000000-0005-0000-0000-00006E6F0000}"/>
    <cellStyle name="Total 2 5 13 2" xfId="24639" xr:uid="{00000000-0005-0000-0000-00006F6F0000}"/>
    <cellStyle name="Total 2 5 14" xfId="5322" xr:uid="{00000000-0005-0000-0000-0000706F0000}"/>
    <cellStyle name="Total 2 5 14 2" xfId="18196" xr:uid="{00000000-0005-0000-0000-0000716F0000}"/>
    <cellStyle name="Total 2 5 2" xfId="1370" xr:uid="{00000000-0005-0000-0000-0000726F0000}"/>
    <cellStyle name="Total 2 5 2 2" xfId="1874" xr:uid="{00000000-0005-0000-0000-0000736F0000}"/>
    <cellStyle name="Total 2 5 2 2 2" xfId="4148" xr:uid="{00000000-0005-0000-0000-0000746F0000}"/>
    <cellStyle name="Total 2 5 2 2 2 2" xfId="8191" xr:uid="{00000000-0005-0000-0000-0000756F0000}"/>
    <cellStyle name="Total 2 5 2 2 2 2 2" xfId="17544" xr:uid="{00000000-0005-0000-0000-0000766F0000}"/>
    <cellStyle name="Total 2 5 2 2 2 2 2 2" xfId="32376" xr:uid="{00000000-0005-0000-0000-0000776F0000}"/>
    <cellStyle name="Total 2 5 2 2 2 2 3" xfId="19283" xr:uid="{00000000-0005-0000-0000-0000786F0000}"/>
    <cellStyle name="Total 2 5 2 2 2 3" xfId="14480" xr:uid="{00000000-0005-0000-0000-0000796F0000}"/>
    <cellStyle name="Total 2 5 2 2 2 3 2" xfId="29312" xr:uid="{00000000-0005-0000-0000-00007A6F0000}"/>
    <cellStyle name="Total 2 5 2 2 2 4" xfId="11162" xr:uid="{00000000-0005-0000-0000-00007B6F0000}"/>
    <cellStyle name="Total 2 5 2 2 2 4 2" xfId="25994" xr:uid="{00000000-0005-0000-0000-00007C6F0000}"/>
    <cellStyle name="Total 2 5 2 2 3" xfId="4852" xr:uid="{00000000-0005-0000-0000-00007D6F0000}"/>
    <cellStyle name="Total 2 5 2 2 3 2" xfId="8891" xr:uid="{00000000-0005-0000-0000-00007E6F0000}"/>
    <cellStyle name="Total 2 5 2 2 3 2 2" xfId="17932" xr:uid="{00000000-0005-0000-0000-00007F6F0000}"/>
    <cellStyle name="Total 2 5 2 2 3 2 2 2" xfId="32764" xr:uid="{00000000-0005-0000-0000-0000806F0000}"/>
    <cellStyle name="Total 2 5 2 2 3 2 3" xfId="19534" xr:uid="{00000000-0005-0000-0000-0000816F0000}"/>
    <cellStyle name="Total 2 5 2 2 3 3" xfId="15176" xr:uid="{00000000-0005-0000-0000-0000826F0000}"/>
    <cellStyle name="Total 2 5 2 2 3 3 2" xfId="30008" xr:uid="{00000000-0005-0000-0000-0000836F0000}"/>
    <cellStyle name="Total 2 5 2 2 3 4" xfId="11535" xr:uid="{00000000-0005-0000-0000-0000846F0000}"/>
    <cellStyle name="Total 2 5 2 2 3 4 2" xfId="26367" xr:uid="{00000000-0005-0000-0000-0000856F0000}"/>
    <cellStyle name="Total 2 5 2 2 4" xfId="2842" xr:uid="{00000000-0005-0000-0000-0000866F0000}"/>
    <cellStyle name="Total 2 5 2 2 4 2" xfId="6933" xr:uid="{00000000-0005-0000-0000-0000876F0000}"/>
    <cellStyle name="Total 2 5 2 2 4 2 2" xfId="16826" xr:uid="{00000000-0005-0000-0000-0000886F0000}"/>
    <cellStyle name="Total 2 5 2 2 4 2 2 2" xfId="31658" xr:uid="{00000000-0005-0000-0000-0000896F0000}"/>
    <cellStyle name="Total 2 5 2 2 4 2 3" xfId="18825" xr:uid="{00000000-0005-0000-0000-00008A6F0000}"/>
    <cellStyle name="Total 2 5 2 2 4 3" xfId="13180" xr:uid="{00000000-0005-0000-0000-00008B6F0000}"/>
    <cellStyle name="Total 2 5 2 2 4 3 2" xfId="28012" xr:uid="{00000000-0005-0000-0000-00008C6F0000}"/>
    <cellStyle name="Total 2 5 2 2 4 4" xfId="10479" xr:uid="{00000000-0005-0000-0000-00008D6F0000}"/>
    <cellStyle name="Total 2 5 2 2 4 4 2" xfId="25311" xr:uid="{00000000-0005-0000-0000-00008E6F0000}"/>
    <cellStyle name="Total 2 5 2 2 5" xfId="6006" xr:uid="{00000000-0005-0000-0000-00008F6F0000}"/>
    <cellStyle name="Total 2 5 2 2 5 2" xfId="16198" xr:uid="{00000000-0005-0000-0000-0000906F0000}"/>
    <cellStyle name="Total 2 5 2 2 5 2 2" xfId="31030" xr:uid="{00000000-0005-0000-0000-0000916F0000}"/>
    <cellStyle name="Total 2 5 2 2 5 3" xfId="18467" xr:uid="{00000000-0005-0000-0000-0000926F0000}"/>
    <cellStyle name="Total 2 5 2 2 6" xfId="12268" xr:uid="{00000000-0005-0000-0000-0000936F0000}"/>
    <cellStyle name="Total 2 5 2 2 6 2" xfId="27100" xr:uid="{00000000-0005-0000-0000-0000946F0000}"/>
    <cellStyle name="Total 2 5 2 2 7" xfId="9864" xr:uid="{00000000-0005-0000-0000-0000956F0000}"/>
    <cellStyle name="Total 2 5 2 2 7 2" xfId="24790" xr:uid="{00000000-0005-0000-0000-0000966F0000}"/>
    <cellStyle name="Total 2 5 2 3" xfId="4048" xr:uid="{00000000-0005-0000-0000-0000976F0000}"/>
    <cellStyle name="Total 2 5 2 3 2" xfId="8095" xr:uid="{00000000-0005-0000-0000-0000986F0000}"/>
    <cellStyle name="Total 2 5 2 3 2 2" xfId="17491" xr:uid="{00000000-0005-0000-0000-0000996F0000}"/>
    <cellStyle name="Total 2 5 2 3 2 2 2" xfId="32323" xr:uid="{00000000-0005-0000-0000-00009A6F0000}"/>
    <cellStyle name="Total 2 5 2 3 2 3" xfId="19247" xr:uid="{00000000-0005-0000-0000-00009B6F0000}"/>
    <cellStyle name="Total 2 5 2 3 3" xfId="14380" xr:uid="{00000000-0005-0000-0000-00009C6F0000}"/>
    <cellStyle name="Total 2 5 2 3 3 2" xfId="29212" xr:uid="{00000000-0005-0000-0000-00009D6F0000}"/>
    <cellStyle name="Total 2 5 2 3 4" xfId="11107" xr:uid="{00000000-0005-0000-0000-00009E6F0000}"/>
    <cellStyle name="Total 2 5 2 3 4 2" xfId="25939" xr:uid="{00000000-0005-0000-0000-00009F6F0000}"/>
    <cellStyle name="Total 2 5 2 4" xfId="4432" xr:uid="{00000000-0005-0000-0000-0000A06F0000}"/>
    <cellStyle name="Total 2 5 2 4 2" xfId="8471" xr:uid="{00000000-0005-0000-0000-0000A16F0000}"/>
    <cellStyle name="Total 2 5 2 4 2 2" xfId="17692" xr:uid="{00000000-0005-0000-0000-0000A26F0000}"/>
    <cellStyle name="Total 2 5 2 4 2 2 2" xfId="32524" xr:uid="{00000000-0005-0000-0000-0000A36F0000}"/>
    <cellStyle name="Total 2 5 2 4 2 3" xfId="19374" xr:uid="{00000000-0005-0000-0000-0000A46F0000}"/>
    <cellStyle name="Total 2 5 2 4 3" xfId="14761" xr:uid="{00000000-0005-0000-0000-0000A56F0000}"/>
    <cellStyle name="Total 2 5 2 4 3 2" xfId="29593" xr:uid="{00000000-0005-0000-0000-0000A66F0000}"/>
    <cellStyle name="Total 2 5 2 4 4" xfId="11300" xr:uid="{00000000-0005-0000-0000-0000A76F0000}"/>
    <cellStyle name="Total 2 5 2 4 4 2" xfId="26132" xr:uid="{00000000-0005-0000-0000-0000A86F0000}"/>
    <cellStyle name="Total 2 5 2 5" xfId="2422" xr:uid="{00000000-0005-0000-0000-0000A96F0000}"/>
    <cellStyle name="Total 2 5 2 5 2" xfId="6534" xr:uid="{00000000-0005-0000-0000-0000AA6F0000}"/>
    <cellStyle name="Total 2 5 2 5 2 2" xfId="16590" xr:uid="{00000000-0005-0000-0000-0000AB6F0000}"/>
    <cellStyle name="Total 2 5 2 5 2 2 2" xfId="31422" xr:uid="{00000000-0005-0000-0000-0000AC6F0000}"/>
    <cellStyle name="Total 2 5 2 5 2 3" xfId="18662" xr:uid="{00000000-0005-0000-0000-0000AD6F0000}"/>
    <cellStyle name="Total 2 5 2 5 3" xfId="12761" xr:uid="{00000000-0005-0000-0000-0000AE6F0000}"/>
    <cellStyle name="Total 2 5 2 5 3 2" xfId="27593" xr:uid="{00000000-0005-0000-0000-0000AF6F0000}"/>
    <cellStyle name="Total 2 5 2 5 4" xfId="10240" xr:uid="{00000000-0005-0000-0000-0000B06F0000}"/>
    <cellStyle name="Total 2 5 2 5 4 2" xfId="25072" xr:uid="{00000000-0005-0000-0000-0000B16F0000}"/>
    <cellStyle name="Total 2 5 2 6" xfId="5547" xr:uid="{00000000-0005-0000-0000-0000B26F0000}"/>
    <cellStyle name="Total 2 5 2 6 2" xfId="15782" xr:uid="{00000000-0005-0000-0000-0000B36F0000}"/>
    <cellStyle name="Total 2 5 2 6 2 2" xfId="30614" xr:uid="{00000000-0005-0000-0000-0000B46F0000}"/>
    <cellStyle name="Total 2 5 2 6 3" xfId="18304" xr:uid="{00000000-0005-0000-0000-0000B56F0000}"/>
    <cellStyle name="Total 2 5 2 7" xfId="11797" xr:uid="{00000000-0005-0000-0000-0000B66F0000}"/>
    <cellStyle name="Total 2 5 2 7 2" xfId="26629" xr:uid="{00000000-0005-0000-0000-0000B76F0000}"/>
    <cellStyle name="Total 2 5 2 8" xfId="9468" xr:uid="{00000000-0005-0000-0000-0000B86F0000}"/>
    <cellStyle name="Total 2 5 2 8 2" xfId="19772" xr:uid="{00000000-0005-0000-0000-0000B96F0000}"/>
    <cellStyle name="Total 2 5 3" xfId="1542" xr:uid="{00000000-0005-0000-0000-0000BA6F0000}"/>
    <cellStyle name="Total 2 5 3 2" xfId="2039" xr:uid="{00000000-0005-0000-0000-0000BB6F0000}"/>
    <cellStyle name="Total 2 5 3 2 2" xfId="3802" xr:uid="{00000000-0005-0000-0000-0000BC6F0000}"/>
    <cellStyle name="Total 2 5 3 2 2 2" xfId="7857" xr:uid="{00000000-0005-0000-0000-0000BD6F0000}"/>
    <cellStyle name="Total 2 5 3 2 2 2 2" xfId="17372" xr:uid="{00000000-0005-0000-0000-0000BE6F0000}"/>
    <cellStyle name="Total 2 5 3 2 2 2 2 2" xfId="32204" xr:uid="{00000000-0005-0000-0000-0000BF6F0000}"/>
    <cellStyle name="Total 2 5 3 2 2 2 3" xfId="19158" xr:uid="{00000000-0005-0000-0000-0000C06F0000}"/>
    <cellStyle name="Total 2 5 3 2 2 3" xfId="14137" xr:uid="{00000000-0005-0000-0000-0000C16F0000}"/>
    <cellStyle name="Total 2 5 3 2 2 3 2" xfId="28969" xr:uid="{00000000-0005-0000-0000-0000C26F0000}"/>
    <cellStyle name="Total 2 5 3 2 2 4" xfId="10989" xr:uid="{00000000-0005-0000-0000-0000C36F0000}"/>
    <cellStyle name="Total 2 5 3 2 2 4 2" xfId="25821" xr:uid="{00000000-0005-0000-0000-0000C46F0000}"/>
    <cellStyle name="Total 2 5 3 2 3" xfId="5007" xr:uid="{00000000-0005-0000-0000-0000C56F0000}"/>
    <cellStyle name="Total 2 5 3 2 3 2" xfId="9046" xr:uid="{00000000-0005-0000-0000-0000C66F0000}"/>
    <cellStyle name="Total 2 5 3 2 3 2 2" xfId="17984" xr:uid="{00000000-0005-0000-0000-0000C76F0000}"/>
    <cellStyle name="Total 2 5 3 2 3 2 2 2" xfId="32816" xr:uid="{00000000-0005-0000-0000-0000C86F0000}"/>
    <cellStyle name="Total 2 5 3 2 3 2 3" xfId="19566" xr:uid="{00000000-0005-0000-0000-0000C96F0000}"/>
    <cellStyle name="Total 2 5 3 2 3 3" xfId="15329" xr:uid="{00000000-0005-0000-0000-0000CA6F0000}"/>
    <cellStyle name="Total 2 5 3 2 3 3 2" xfId="30161" xr:uid="{00000000-0005-0000-0000-0000CB6F0000}"/>
    <cellStyle name="Total 2 5 3 2 3 4" xfId="11585" xr:uid="{00000000-0005-0000-0000-0000CC6F0000}"/>
    <cellStyle name="Total 2 5 3 2 3 4 2" xfId="26417" xr:uid="{00000000-0005-0000-0000-0000CD6F0000}"/>
    <cellStyle name="Total 2 5 3 2 4" xfId="2997" xr:uid="{00000000-0005-0000-0000-0000CE6F0000}"/>
    <cellStyle name="Total 2 5 3 2 4 2" xfId="7077" xr:uid="{00000000-0005-0000-0000-0000CF6F0000}"/>
    <cellStyle name="Total 2 5 3 2 4 2 2" xfId="16876" xr:uid="{00000000-0005-0000-0000-0000D06F0000}"/>
    <cellStyle name="Total 2 5 3 2 4 2 2 2" xfId="31708" xr:uid="{00000000-0005-0000-0000-0000D16F0000}"/>
    <cellStyle name="Total 2 5 3 2 4 2 3" xfId="18858" xr:uid="{00000000-0005-0000-0000-0000D26F0000}"/>
    <cellStyle name="Total 2 5 3 2 4 3" xfId="13335" xr:uid="{00000000-0005-0000-0000-0000D36F0000}"/>
    <cellStyle name="Total 2 5 3 2 4 3 2" xfId="28167" xr:uid="{00000000-0005-0000-0000-0000D46F0000}"/>
    <cellStyle name="Total 2 5 3 2 4 4" xfId="10531" xr:uid="{00000000-0005-0000-0000-0000D56F0000}"/>
    <cellStyle name="Total 2 5 3 2 4 4 2" xfId="25363" xr:uid="{00000000-0005-0000-0000-0000D66F0000}"/>
    <cellStyle name="Total 2 5 3 2 5" xfId="6169" xr:uid="{00000000-0005-0000-0000-0000D76F0000}"/>
    <cellStyle name="Total 2 5 3 2 5 2" xfId="16356" xr:uid="{00000000-0005-0000-0000-0000D86F0000}"/>
    <cellStyle name="Total 2 5 3 2 5 2 2" xfId="31188" xr:uid="{00000000-0005-0000-0000-0000D96F0000}"/>
    <cellStyle name="Total 2 5 3 2 5 3" xfId="18499" xr:uid="{00000000-0005-0000-0000-0000DA6F0000}"/>
    <cellStyle name="Total 2 5 3 2 6" xfId="12426" xr:uid="{00000000-0005-0000-0000-0000DB6F0000}"/>
    <cellStyle name="Total 2 5 3 2 6 2" xfId="27258" xr:uid="{00000000-0005-0000-0000-0000DC6F0000}"/>
    <cellStyle name="Total 2 5 3 2 7" xfId="10008" xr:uid="{00000000-0005-0000-0000-0000DD6F0000}"/>
    <cellStyle name="Total 2 5 3 2 7 2" xfId="24840" xr:uid="{00000000-0005-0000-0000-0000DE6F0000}"/>
    <cellStyle name="Total 2 5 3 3" xfId="3228" xr:uid="{00000000-0005-0000-0000-0000DF6F0000}"/>
    <cellStyle name="Total 2 5 3 3 2" xfId="7292" xr:uid="{00000000-0005-0000-0000-0000E06F0000}"/>
    <cellStyle name="Total 2 5 3 3 2 2" xfId="17052" xr:uid="{00000000-0005-0000-0000-0000E16F0000}"/>
    <cellStyle name="Total 2 5 3 3 2 2 2" xfId="31884" xr:uid="{00000000-0005-0000-0000-0000E26F0000}"/>
    <cellStyle name="Total 2 5 3 3 2 3" xfId="18969" xr:uid="{00000000-0005-0000-0000-0000E36F0000}"/>
    <cellStyle name="Total 2 5 3 3 3" xfId="13566" xr:uid="{00000000-0005-0000-0000-0000E46F0000}"/>
    <cellStyle name="Total 2 5 3 3 3 2" xfId="28398" xr:uid="{00000000-0005-0000-0000-0000E56F0000}"/>
    <cellStyle name="Total 2 5 3 3 4" xfId="10692" xr:uid="{00000000-0005-0000-0000-0000E66F0000}"/>
    <cellStyle name="Total 2 5 3 3 4 2" xfId="25524" xr:uid="{00000000-0005-0000-0000-0000E76F0000}"/>
    <cellStyle name="Total 2 5 3 4" xfId="4587" xr:uid="{00000000-0005-0000-0000-0000E86F0000}"/>
    <cellStyle name="Total 2 5 3 4 2" xfId="8626" xr:uid="{00000000-0005-0000-0000-0000E96F0000}"/>
    <cellStyle name="Total 2 5 3 4 2 2" xfId="17744" xr:uid="{00000000-0005-0000-0000-0000EA6F0000}"/>
    <cellStyle name="Total 2 5 3 4 2 2 2" xfId="32576" xr:uid="{00000000-0005-0000-0000-0000EB6F0000}"/>
    <cellStyle name="Total 2 5 3 4 2 3" xfId="19406" xr:uid="{00000000-0005-0000-0000-0000EC6F0000}"/>
    <cellStyle name="Total 2 5 3 4 3" xfId="14914" xr:uid="{00000000-0005-0000-0000-0000ED6F0000}"/>
    <cellStyle name="Total 2 5 3 4 3 2" xfId="29746" xr:uid="{00000000-0005-0000-0000-0000EE6F0000}"/>
    <cellStyle name="Total 2 5 3 4 4" xfId="11350" xr:uid="{00000000-0005-0000-0000-0000EF6F0000}"/>
    <cellStyle name="Total 2 5 3 4 4 2" xfId="26182" xr:uid="{00000000-0005-0000-0000-0000F06F0000}"/>
    <cellStyle name="Total 2 5 3 5" xfId="2577" xr:uid="{00000000-0005-0000-0000-0000F16F0000}"/>
    <cellStyle name="Total 2 5 3 5 2" xfId="6683" xr:uid="{00000000-0005-0000-0000-0000F26F0000}"/>
    <cellStyle name="Total 2 5 3 5 2 2" xfId="16641" xr:uid="{00000000-0005-0000-0000-0000F36F0000}"/>
    <cellStyle name="Total 2 5 3 5 2 2 2" xfId="31473" xr:uid="{00000000-0005-0000-0000-0000F46F0000}"/>
    <cellStyle name="Total 2 5 3 5 2 3" xfId="18694" xr:uid="{00000000-0005-0000-0000-0000F56F0000}"/>
    <cellStyle name="Total 2 5 3 5 3" xfId="12915" xr:uid="{00000000-0005-0000-0000-0000F66F0000}"/>
    <cellStyle name="Total 2 5 3 5 3 2" xfId="27747" xr:uid="{00000000-0005-0000-0000-0000F76F0000}"/>
    <cellStyle name="Total 2 5 3 5 4" xfId="10291" xr:uid="{00000000-0005-0000-0000-0000F86F0000}"/>
    <cellStyle name="Total 2 5 3 5 4 2" xfId="25123" xr:uid="{00000000-0005-0000-0000-0000F96F0000}"/>
    <cellStyle name="Total 2 5 3 6" xfId="5700" xr:uid="{00000000-0005-0000-0000-0000FA6F0000}"/>
    <cellStyle name="Total 2 5 3 6 2" xfId="15935" xr:uid="{00000000-0005-0000-0000-0000FB6F0000}"/>
    <cellStyle name="Total 2 5 3 6 2 2" xfId="30767" xr:uid="{00000000-0005-0000-0000-0000FC6F0000}"/>
    <cellStyle name="Total 2 5 3 6 3" xfId="18336" xr:uid="{00000000-0005-0000-0000-0000FD6F0000}"/>
    <cellStyle name="Total 2 5 3 7" xfId="11955" xr:uid="{00000000-0005-0000-0000-0000FE6F0000}"/>
    <cellStyle name="Total 2 5 3 7 2" xfId="26787" xr:uid="{00000000-0005-0000-0000-0000FF6F0000}"/>
    <cellStyle name="Total 2 5 3 8" xfId="9613" xr:uid="{00000000-0005-0000-0000-000000700000}"/>
    <cellStyle name="Total 2 5 3 8 2" xfId="19915" xr:uid="{00000000-0005-0000-0000-000001700000}"/>
    <cellStyle name="Total 2 5 4" xfId="1595" xr:uid="{00000000-0005-0000-0000-000002700000}"/>
    <cellStyle name="Total 2 5 4 2" xfId="2092" xr:uid="{00000000-0005-0000-0000-000003700000}"/>
    <cellStyle name="Total 2 5 4 2 2" xfId="3564" xr:uid="{00000000-0005-0000-0000-000004700000}"/>
    <cellStyle name="Total 2 5 4 2 2 2" xfId="7626" xr:uid="{00000000-0005-0000-0000-000005700000}"/>
    <cellStyle name="Total 2 5 4 2 2 2 2" xfId="17259" xr:uid="{00000000-0005-0000-0000-000006700000}"/>
    <cellStyle name="Total 2 5 4 2 2 2 2 2" xfId="32091" xr:uid="{00000000-0005-0000-0000-000007700000}"/>
    <cellStyle name="Total 2 5 4 2 2 2 3" xfId="19082" xr:uid="{00000000-0005-0000-0000-000008700000}"/>
    <cellStyle name="Total 2 5 4 2 2 3" xfId="13900" xr:uid="{00000000-0005-0000-0000-000009700000}"/>
    <cellStyle name="Total 2 5 4 2 2 3 2" xfId="28732" xr:uid="{00000000-0005-0000-0000-00000A700000}"/>
    <cellStyle name="Total 2 5 4 2 2 4" xfId="10876" xr:uid="{00000000-0005-0000-0000-00000B700000}"/>
    <cellStyle name="Total 2 5 4 2 2 4 2" xfId="25708" xr:uid="{00000000-0005-0000-0000-00000C700000}"/>
    <cellStyle name="Total 2 5 4 2 3" xfId="5060" xr:uid="{00000000-0005-0000-0000-00000D700000}"/>
    <cellStyle name="Total 2 5 4 2 3 2" xfId="9099" xr:uid="{00000000-0005-0000-0000-00000E700000}"/>
    <cellStyle name="Total 2 5 4 2 3 2 2" xfId="18032" xr:uid="{00000000-0005-0000-0000-00000F700000}"/>
    <cellStyle name="Total 2 5 4 2 3 2 2 2" xfId="32864" xr:uid="{00000000-0005-0000-0000-000010700000}"/>
    <cellStyle name="Total 2 5 4 2 3 2 3" xfId="19598" xr:uid="{00000000-0005-0000-0000-000011700000}"/>
    <cellStyle name="Total 2 5 4 2 3 3" xfId="15381" xr:uid="{00000000-0005-0000-0000-000012700000}"/>
    <cellStyle name="Total 2 5 4 2 3 3 2" xfId="30213" xr:uid="{00000000-0005-0000-0000-000013700000}"/>
    <cellStyle name="Total 2 5 4 2 3 4" xfId="11632" xr:uid="{00000000-0005-0000-0000-000014700000}"/>
    <cellStyle name="Total 2 5 4 2 3 4 2" xfId="26464" xr:uid="{00000000-0005-0000-0000-000015700000}"/>
    <cellStyle name="Total 2 5 4 2 4" xfId="3050" xr:uid="{00000000-0005-0000-0000-000016700000}"/>
    <cellStyle name="Total 2 5 4 2 4 2" xfId="7125" xr:uid="{00000000-0005-0000-0000-000017700000}"/>
    <cellStyle name="Total 2 5 4 2 4 2 2" xfId="16923" xr:uid="{00000000-0005-0000-0000-000018700000}"/>
    <cellStyle name="Total 2 5 4 2 4 2 2 2" xfId="31755" xr:uid="{00000000-0005-0000-0000-000019700000}"/>
    <cellStyle name="Total 2 5 4 2 4 2 3" xfId="18891" xr:uid="{00000000-0005-0000-0000-00001A700000}"/>
    <cellStyle name="Total 2 5 4 2 4 3" xfId="13388" xr:uid="{00000000-0005-0000-0000-00001B700000}"/>
    <cellStyle name="Total 2 5 4 2 4 3 2" xfId="28220" xr:uid="{00000000-0005-0000-0000-00001C700000}"/>
    <cellStyle name="Total 2 5 4 2 4 4" xfId="10579" xr:uid="{00000000-0005-0000-0000-00001D700000}"/>
    <cellStyle name="Total 2 5 4 2 4 4 2" xfId="25411" xr:uid="{00000000-0005-0000-0000-00001E700000}"/>
    <cellStyle name="Total 2 5 4 2 5" xfId="6217" xr:uid="{00000000-0005-0000-0000-00001F700000}"/>
    <cellStyle name="Total 2 5 4 2 5 2" xfId="16403" xr:uid="{00000000-0005-0000-0000-000020700000}"/>
    <cellStyle name="Total 2 5 4 2 5 2 2" xfId="31235" xr:uid="{00000000-0005-0000-0000-000021700000}"/>
    <cellStyle name="Total 2 5 4 2 5 3" xfId="18532" xr:uid="{00000000-0005-0000-0000-000022700000}"/>
    <cellStyle name="Total 2 5 4 2 6" xfId="12473" xr:uid="{00000000-0005-0000-0000-000023700000}"/>
    <cellStyle name="Total 2 5 4 2 6 2" xfId="27305" xr:uid="{00000000-0005-0000-0000-000024700000}"/>
    <cellStyle name="Total 2 5 4 2 7" xfId="10055" xr:uid="{00000000-0005-0000-0000-000025700000}"/>
    <cellStyle name="Total 2 5 4 2 7 2" xfId="24887" xr:uid="{00000000-0005-0000-0000-000026700000}"/>
    <cellStyle name="Total 2 5 4 3" xfId="3425" xr:uid="{00000000-0005-0000-0000-000027700000}"/>
    <cellStyle name="Total 2 5 4 3 2" xfId="7488" xr:uid="{00000000-0005-0000-0000-000028700000}"/>
    <cellStyle name="Total 2 5 4 3 2 2" xfId="17183" xr:uid="{00000000-0005-0000-0000-000029700000}"/>
    <cellStyle name="Total 2 5 4 3 2 2 2" xfId="32015" xr:uid="{00000000-0005-0000-0000-00002A700000}"/>
    <cellStyle name="Total 2 5 4 3 2 3" xfId="19031" xr:uid="{00000000-0005-0000-0000-00002B700000}"/>
    <cellStyle name="Total 2 5 4 3 3" xfId="13762" xr:uid="{00000000-0005-0000-0000-00002C700000}"/>
    <cellStyle name="Total 2 5 4 3 3 2" xfId="28594" xr:uid="{00000000-0005-0000-0000-00002D700000}"/>
    <cellStyle name="Total 2 5 4 3 4" xfId="10802" xr:uid="{00000000-0005-0000-0000-00002E700000}"/>
    <cellStyle name="Total 2 5 4 3 4 2" xfId="25634" xr:uid="{00000000-0005-0000-0000-00002F700000}"/>
    <cellStyle name="Total 2 5 4 4" xfId="4640" xr:uid="{00000000-0005-0000-0000-000030700000}"/>
    <cellStyle name="Total 2 5 4 4 2" xfId="8679" xr:uid="{00000000-0005-0000-0000-000031700000}"/>
    <cellStyle name="Total 2 5 4 4 2 2" xfId="17792" xr:uid="{00000000-0005-0000-0000-000032700000}"/>
    <cellStyle name="Total 2 5 4 4 2 2 2" xfId="32624" xr:uid="{00000000-0005-0000-0000-000033700000}"/>
    <cellStyle name="Total 2 5 4 4 2 3" xfId="19438" xr:uid="{00000000-0005-0000-0000-000034700000}"/>
    <cellStyle name="Total 2 5 4 4 3" xfId="14966" xr:uid="{00000000-0005-0000-0000-000035700000}"/>
    <cellStyle name="Total 2 5 4 4 3 2" xfId="29798" xr:uid="{00000000-0005-0000-0000-000036700000}"/>
    <cellStyle name="Total 2 5 4 4 4" xfId="11397" xr:uid="{00000000-0005-0000-0000-000037700000}"/>
    <cellStyle name="Total 2 5 4 4 4 2" xfId="26229" xr:uid="{00000000-0005-0000-0000-000038700000}"/>
    <cellStyle name="Total 2 5 4 5" xfId="2630" xr:uid="{00000000-0005-0000-0000-000039700000}"/>
    <cellStyle name="Total 2 5 4 5 2" xfId="6731" xr:uid="{00000000-0005-0000-0000-00003A700000}"/>
    <cellStyle name="Total 2 5 4 5 2 2" xfId="16688" xr:uid="{00000000-0005-0000-0000-00003B700000}"/>
    <cellStyle name="Total 2 5 4 5 2 2 2" xfId="31520" xr:uid="{00000000-0005-0000-0000-00003C700000}"/>
    <cellStyle name="Total 2 5 4 5 2 3" xfId="18727" xr:uid="{00000000-0005-0000-0000-00003D700000}"/>
    <cellStyle name="Total 2 5 4 5 3" xfId="12968" xr:uid="{00000000-0005-0000-0000-00003E700000}"/>
    <cellStyle name="Total 2 5 4 5 3 2" xfId="27800" xr:uid="{00000000-0005-0000-0000-00003F700000}"/>
    <cellStyle name="Total 2 5 4 5 4" xfId="10339" xr:uid="{00000000-0005-0000-0000-000040700000}"/>
    <cellStyle name="Total 2 5 4 5 4 2" xfId="25171" xr:uid="{00000000-0005-0000-0000-000041700000}"/>
    <cellStyle name="Total 2 5 4 6" xfId="5747" xr:uid="{00000000-0005-0000-0000-000042700000}"/>
    <cellStyle name="Total 2 5 4 6 2" xfId="15982" xr:uid="{00000000-0005-0000-0000-000043700000}"/>
    <cellStyle name="Total 2 5 4 6 2 2" xfId="30814" xr:uid="{00000000-0005-0000-0000-000044700000}"/>
    <cellStyle name="Total 2 5 4 6 3" xfId="18368" xr:uid="{00000000-0005-0000-0000-000045700000}"/>
    <cellStyle name="Total 2 5 4 7" xfId="12002" xr:uid="{00000000-0005-0000-0000-000046700000}"/>
    <cellStyle name="Total 2 5 4 7 2" xfId="26834" xr:uid="{00000000-0005-0000-0000-000047700000}"/>
    <cellStyle name="Total 2 5 4 8" xfId="9661" xr:uid="{00000000-0005-0000-0000-000048700000}"/>
    <cellStyle name="Total 2 5 4 8 2" xfId="19962" xr:uid="{00000000-0005-0000-0000-000049700000}"/>
    <cellStyle name="Total 2 5 5" xfId="1645" xr:uid="{00000000-0005-0000-0000-00004A700000}"/>
    <cellStyle name="Total 2 5 5 2" xfId="2142" xr:uid="{00000000-0005-0000-0000-00004B700000}"/>
    <cellStyle name="Total 2 5 5 2 2" xfId="3600" xr:uid="{00000000-0005-0000-0000-00004C700000}"/>
    <cellStyle name="Total 2 5 5 2 2 2" xfId="7661" xr:uid="{00000000-0005-0000-0000-00004D700000}"/>
    <cellStyle name="Total 2 5 5 2 2 2 2" xfId="17278" xr:uid="{00000000-0005-0000-0000-00004E700000}"/>
    <cellStyle name="Total 2 5 5 2 2 2 2 2" xfId="32110" xr:uid="{00000000-0005-0000-0000-00004F700000}"/>
    <cellStyle name="Total 2 5 5 2 2 2 3" xfId="19097" xr:uid="{00000000-0005-0000-0000-000050700000}"/>
    <cellStyle name="Total 2 5 5 2 2 3" xfId="13936" xr:uid="{00000000-0005-0000-0000-000051700000}"/>
    <cellStyle name="Total 2 5 5 2 2 3 2" xfId="28768" xr:uid="{00000000-0005-0000-0000-000052700000}"/>
    <cellStyle name="Total 2 5 5 2 2 4" xfId="10895" xr:uid="{00000000-0005-0000-0000-000053700000}"/>
    <cellStyle name="Total 2 5 5 2 2 4 2" xfId="25727" xr:uid="{00000000-0005-0000-0000-000054700000}"/>
    <cellStyle name="Total 2 5 5 2 3" xfId="5110" xr:uid="{00000000-0005-0000-0000-000055700000}"/>
    <cellStyle name="Total 2 5 5 2 3 2" xfId="9149" xr:uid="{00000000-0005-0000-0000-000056700000}"/>
    <cellStyle name="Total 2 5 5 2 3 2 2" xfId="18077" xr:uid="{00000000-0005-0000-0000-000057700000}"/>
    <cellStyle name="Total 2 5 5 2 3 2 2 2" xfId="32909" xr:uid="{00000000-0005-0000-0000-000058700000}"/>
    <cellStyle name="Total 2 5 5 2 3 2 3" xfId="19630" xr:uid="{00000000-0005-0000-0000-000059700000}"/>
    <cellStyle name="Total 2 5 5 2 3 3" xfId="15430" xr:uid="{00000000-0005-0000-0000-00005A700000}"/>
    <cellStyle name="Total 2 5 5 2 3 3 2" xfId="30262" xr:uid="{00000000-0005-0000-0000-00005B700000}"/>
    <cellStyle name="Total 2 5 5 2 3 4" xfId="11676" xr:uid="{00000000-0005-0000-0000-00005C700000}"/>
    <cellStyle name="Total 2 5 5 2 3 4 2" xfId="26508" xr:uid="{00000000-0005-0000-0000-00005D700000}"/>
    <cellStyle name="Total 2 5 5 2 4" xfId="3100" xr:uid="{00000000-0005-0000-0000-00005E700000}"/>
    <cellStyle name="Total 2 5 5 2 4 2" xfId="7170" xr:uid="{00000000-0005-0000-0000-00005F700000}"/>
    <cellStyle name="Total 2 5 5 2 4 2 2" xfId="16967" xr:uid="{00000000-0005-0000-0000-000060700000}"/>
    <cellStyle name="Total 2 5 5 2 4 2 2 2" xfId="31799" xr:uid="{00000000-0005-0000-0000-000061700000}"/>
    <cellStyle name="Total 2 5 5 2 4 2 3" xfId="18924" xr:uid="{00000000-0005-0000-0000-000062700000}"/>
    <cellStyle name="Total 2 5 5 2 4 3" xfId="13438" xr:uid="{00000000-0005-0000-0000-000063700000}"/>
    <cellStyle name="Total 2 5 5 2 4 3 2" xfId="28270" xr:uid="{00000000-0005-0000-0000-000064700000}"/>
    <cellStyle name="Total 2 5 5 2 4 4" xfId="10624" xr:uid="{00000000-0005-0000-0000-000065700000}"/>
    <cellStyle name="Total 2 5 5 2 4 4 2" xfId="25456" xr:uid="{00000000-0005-0000-0000-000066700000}"/>
    <cellStyle name="Total 2 5 5 2 5" xfId="6262" xr:uid="{00000000-0005-0000-0000-000067700000}"/>
    <cellStyle name="Total 2 5 5 2 5 2" xfId="16447" xr:uid="{00000000-0005-0000-0000-000068700000}"/>
    <cellStyle name="Total 2 5 5 2 5 2 2" xfId="31279" xr:uid="{00000000-0005-0000-0000-000069700000}"/>
    <cellStyle name="Total 2 5 5 2 5 3" xfId="18565" xr:uid="{00000000-0005-0000-0000-00006A700000}"/>
    <cellStyle name="Total 2 5 5 2 6" xfId="12517" xr:uid="{00000000-0005-0000-0000-00006B700000}"/>
    <cellStyle name="Total 2 5 5 2 6 2" xfId="27349" xr:uid="{00000000-0005-0000-0000-00006C700000}"/>
    <cellStyle name="Total 2 5 5 2 7" xfId="10099" xr:uid="{00000000-0005-0000-0000-00006D700000}"/>
    <cellStyle name="Total 2 5 5 2 7 2" xfId="24931" xr:uid="{00000000-0005-0000-0000-00006E700000}"/>
    <cellStyle name="Total 2 5 5 3" xfId="3742" xr:uid="{00000000-0005-0000-0000-00006F700000}"/>
    <cellStyle name="Total 2 5 5 3 2" xfId="7798" xr:uid="{00000000-0005-0000-0000-000070700000}"/>
    <cellStyle name="Total 2 5 5 3 2 2" xfId="17344" xr:uid="{00000000-0005-0000-0000-000071700000}"/>
    <cellStyle name="Total 2 5 5 3 2 2 2" xfId="32176" xr:uid="{00000000-0005-0000-0000-000072700000}"/>
    <cellStyle name="Total 2 5 5 3 2 3" xfId="19138" xr:uid="{00000000-0005-0000-0000-000073700000}"/>
    <cellStyle name="Total 2 5 5 3 3" xfId="14077" xr:uid="{00000000-0005-0000-0000-000074700000}"/>
    <cellStyle name="Total 2 5 5 3 3 2" xfId="28909" xr:uid="{00000000-0005-0000-0000-000075700000}"/>
    <cellStyle name="Total 2 5 5 3 4" xfId="10960" xr:uid="{00000000-0005-0000-0000-000076700000}"/>
    <cellStyle name="Total 2 5 5 3 4 2" xfId="25792" xr:uid="{00000000-0005-0000-0000-000077700000}"/>
    <cellStyle name="Total 2 5 5 4" xfId="4690" xr:uid="{00000000-0005-0000-0000-000078700000}"/>
    <cellStyle name="Total 2 5 5 4 2" xfId="8729" xr:uid="{00000000-0005-0000-0000-000079700000}"/>
    <cellStyle name="Total 2 5 5 4 2 2" xfId="17837" xr:uid="{00000000-0005-0000-0000-00007A700000}"/>
    <cellStyle name="Total 2 5 5 4 2 2 2" xfId="32669" xr:uid="{00000000-0005-0000-0000-00007B700000}"/>
    <cellStyle name="Total 2 5 5 4 2 3" xfId="19470" xr:uid="{00000000-0005-0000-0000-00007C700000}"/>
    <cellStyle name="Total 2 5 5 4 3" xfId="15015" xr:uid="{00000000-0005-0000-0000-00007D700000}"/>
    <cellStyle name="Total 2 5 5 4 3 2" xfId="29847" xr:uid="{00000000-0005-0000-0000-00007E700000}"/>
    <cellStyle name="Total 2 5 5 4 4" xfId="11441" xr:uid="{00000000-0005-0000-0000-00007F700000}"/>
    <cellStyle name="Total 2 5 5 4 4 2" xfId="26273" xr:uid="{00000000-0005-0000-0000-000080700000}"/>
    <cellStyle name="Total 2 5 5 5" xfId="2680" xr:uid="{00000000-0005-0000-0000-000081700000}"/>
    <cellStyle name="Total 2 5 5 5 2" xfId="6776" xr:uid="{00000000-0005-0000-0000-000082700000}"/>
    <cellStyle name="Total 2 5 5 5 2 2" xfId="16732" xr:uid="{00000000-0005-0000-0000-000083700000}"/>
    <cellStyle name="Total 2 5 5 5 2 2 2" xfId="31564" xr:uid="{00000000-0005-0000-0000-000084700000}"/>
    <cellStyle name="Total 2 5 5 5 2 3" xfId="18760" xr:uid="{00000000-0005-0000-0000-000085700000}"/>
    <cellStyle name="Total 2 5 5 5 3" xfId="13018" xr:uid="{00000000-0005-0000-0000-000086700000}"/>
    <cellStyle name="Total 2 5 5 5 3 2" xfId="27850" xr:uid="{00000000-0005-0000-0000-000087700000}"/>
    <cellStyle name="Total 2 5 5 5 4" xfId="10384" xr:uid="{00000000-0005-0000-0000-000088700000}"/>
    <cellStyle name="Total 2 5 5 5 4 2" xfId="25216" xr:uid="{00000000-0005-0000-0000-000089700000}"/>
    <cellStyle name="Total 2 5 5 6" xfId="5792" xr:uid="{00000000-0005-0000-0000-00008A700000}"/>
    <cellStyle name="Total 2 5 5 6 2" xfId="16026" xr:uid="{00000000-0005-0000-0000-00008B700000}"/>
    <cellStyle name="Total 2 5 5 6 2 2" xfId="30858" xr:uid="{00000000-0005-0000-0000-00008C700000}"/>
    <cellStyle name="Total 2 5 5 6 3" xfId="18401" xr:uid="{00000000-0005-0000-0000-00008D700000}"/>
    <cellStyle name="Total 2 5 5 7" xfId="12046" xr:uid="{00000000-0005-0000-0000-00008E700000}"/>
    <cellStyle name="Total 2 5 5 7 2" xfId="26878" xr:uid="{00000000-0005-0000-0000-00008F700000}"/>
    <cellStyle name="Total 2 5 5 8" xfId="9706" xr:uid="{00000000-0005-0000-0000-000090700000}"/>
    <cellStyle name="Total 2 5 5 8 2" xfId="20006" xr:uid="{00000000-0005-0000-0000-000091700000}"/>
    <cellStyle name="Total 2 5 6" xfId="1796" xr:uid="{00000000-0005-0000-0000-000092700000}"/>
    <cellStyle name="Total 2 5 6 2" xfId="3513" xr:uid="{00000000-0005-0000-0000-000093700000}"/>
    <cellStyle name="Total 2 5 6 2 2" xfId="7575" xr:uid="{00000000-0005-0000-0000-000094700000}"/>
    <cellStyle name="Total 2 5 6 2 2 2" xfId="17230" xr:uid="{00000000-0005-0000-0000-000095700000}"/>
    <cellStyle name="Total 2 5 6 2 2 2 2" xfId="32062" xr:uid="{00000000-0005-0000-0000-000096700000}"/>
    <cellStyle name="Total 2 5 6 2 2 3" xfId="19060" xr:uid="{00000000-0005-0000-0000-000097700000}"/>
    <cellStyle name="Total 2 5 6 2 3" xfId="13850" xr:uid="{00000000-0005-0000-0000-000098700000}"/>
    <cellStyle name="Total 2 5 6 2 3 2" xfId="28682" xr:uid="{00000000-0005-0000-0000-000099700000}"/>
    <cellStyle name="Total 2 5 6 2 4" xfId="10848" xr:uid="{00000000-0005-0000-0000-00009A700000}"/>
    <cellStyle name="Total 2 5 6 2 4 2" xfId="25680" xr:uid="{00000000-0005-0000-0000-00009B700000}"/>
    <cellStyle name="Total 2 5 6 3" xfId="4774" xr:uid="{00000000-0005-0000-0000-00009C700000}"/>
    <cellStyle name="Total 2 5 6 3 2" xfId="8813" xr:uid="{00000000-0005-0000-0000-00009D700000}"/>
    <cellStyle name="Total 2 5 6 3 2 2" xfId="17885" xr:uid="{00000000-0005-0000-0000-00009E700000}"/>
    <cellStyle name="Total 2 5 6 3 2 2 2" xfId="32717" xr:uid="{00000000-0005-0000-0000-00009F700000}"/>
    <cellStyle name="Total 2 5 6 3 2 3" xfId="19502" xr:uid="{00000000-0005-0000-0000-0000A0700000}"/>
    <cellStyle name="Total 2 5 6 3 3" xfId="15098" xr:uid="{00000000-0005-0000-0000-0000A1700000}"/>
    <cellStyle name="Total 2 5 6 3 3 2" xfId="29930" xr:uid="{00000000-0005-0000-0000-0000A2700000}"/>
    <cellStyle name="Total 2 5 6 3 4" xfId="11488" xr:uid="{00000000-0005-0000-0000-0000A3700000}"/>
    <cellStyle name="Total 2 5 6 3 4 2" xfId="26320" xr:uid="{00000000-0005-0000-0000-0000A4700000}"/>
    <cellStyle name="Total 2 5 6 4" xfId="2764" xr:uid="{00000000-0005-0000-0000-0000A5700000}"/>
    <cellStyle name="Total 2 5 6 4 2" xfId="6855" xr:uid="{00000000-0005-0000-0000-0000A6700000}"/>
    <cellStyle name="Total 2 5 6 4 2 2" xfId="16779" xr:uid="{00000000-0005-0000-0000-0000A7700000}"/>
    <cellStyle name="Total 2 5 6 4 2 2 2" xfId="31611" xr:uid="{00000000-0005-0000-0000-0000A8700000}"/>
    <cellStyle name="Total 2 5 6 4 2 3" xfId="18793" xr:uid="{00000000-0005-0000-0000-0000A9700000}"/>
    <cellStyle name="Total 2 5 6 4 3" xfId="13102" xr:uid="{00000000-0005-0000-0000-0000AA700000}"/>
    <cellStyle name="Total 2 5 6 4 3 2" xfId="27934" xr:uid="{00000000-0005-0000-0000-0000AB700000}"/>
    <cellStyle name="Total 2 5 6 4 4" xfId="10432" xr:uid="{00000000-0005-0000-0000-0000AC700000}"/>
    <cellStyle name="Total 2 5 6 4 4 2" xfId="25264" xr:uid="{00000000-0005-0000-0000-0000AD700000}"/>
    <cellStyle name="Total 2 5 6 5" xfId="5928" xr:uid="{00000000-0005-0000-0000-0000AE700000}"/>
    <cellStyle name="Total 2 5 6 5 2" xfId="16120" xr:uid="{00000000-0005-0000-0000-0000AF700000}"/>
    <cellStyle name="Total 2 5 6 5 2 2" xfId="30952" xr:uid="{00000000-0005-0000-0000-0000B0700000}"/>
    <cellStyle name="Total 2 5 6 5 3" xfId="18435" xr:uid="{00000000-0005-0000-0000-0000B1700000}"/>
    <cellStyle name="Total 2 5 6 6" xfId="12190" xr:uid="{00000000-0005-0000-0000-0000B2700000}"/>
    <cellStyle name="Total 2 5 6 6 2" xfId="27022" xr:uid="{00000000-0005-0000-0000-0000B3700000}"/>
    <cellStyle name="Total 2 5 6 7" xfId="9786" xr:uid="{00000000-0005-0000-0000-0000B4700000}"/>
    <cellStyle name="Total 2 5 6 7 2" xfId="24743" xr:uid="{00000000-0005-0000-0000-0000B5700000}"/>
    <cellStyle name="Total 2 5 7" xfId="2170" xr:uid="{00000000-0005-0000-0000-0000B6700000}"/>
    <cellStyle name="Total 2 5 7 2" xfId="3496" xr:uid="{00000000-0005-0000-0000-0000B7700000}"/>
    <cellStyle name="Total 2 5 7 2 2" xfId="7558" xr:uid="{00000000-0005-0000-0000-0000B8700000}"/>
    <cellStyle name="Total 2 5 7 2 2 2" xfId="17219" xr:uid="{00000000-0005-0000-0000-0000B9700000}"/>
    <cellStyle name="Total 2 5 7 2 2 2 2" xfId="32051" xr:uid="{00000000-0005-0000-0000-0000BA700000}"/>
    <cellStyle name="Total 2 5 7 2 2 3" xfId="19055" xr:uid="{00000000-0005-0000-0000-0000BB700000}"/>
    <cellStyle name="Total 2 5 7 2 3" xfId="13833" xr:uid="{00000000-0005-0000-0000-0000BC700000}"/>
    <cellStyle name="Total 2 5 7 2 3 2" xfId="28665" xr:uid="{00000000-0005-0000-0000-0000BD700000}"/>
    <cellStyle name="Total 2 5 7 2 4" xfId="10837" xr:uid="{00000000-0005-0000-0000-0000BE700000}"/>
    <cellStyle name="Total 2 5 7 2 4 2" xfId="25669" xr:uid="{00000000-0005-0000-0000-0000BF700000}"/>
    <cellStyle name="Total 2 5 7 3" xfId="5138" xr:uid="{00000000-0005-0000-0000-0000C0700000}"/>
    <cellStyle name="Total 2 5 7 3 2" xfId="9177" xr:uid="{00000000-0005-0000-0000-0000C1700000}"/>
    <cellStyle name="Total 2 5 7 3 2 2" xfId="18100" xr:uid="{00000000-0005-0000-0000-0000C2700000}"/>
    <cellStyle name="Total 2 5 7 3 2 2 2" xfId="32932" xr:uid="{00000000-0005-0000-0000-0000C3700000}"/>
    <cellStyle name="Total 2 5 7 3 2 3" xfId="19651" xr:uid="{00000000-0005-0000-0000-0000C4700000}"/>
    <cellStyle name="Total 2 5 7 3 3" xfId="15456" xr:uid="{00000000-0005-0000-0000-0000C5700000}"/>
    <cellStyle name="Total 2 5 7 3 3 2" xfId="30288" xr:uid="{00000000-0005-0000-0000-0000C6700000}"/>
    <cellStyle name="Total 2 5 7 3 4" xfId="11697" xr:uid="{00000000-0005-0000-0000-0000C7700000}"/>
    <cellStyle name="Total 2 5 7 3 4 2" xfId="26529" xr:uid="{00000000-0005-0000-0000-0000C8700000}"/>
    <cellStyle name="Total 2 5 7 4" xfId="4168" xr:uid="{00000000-0005-0000-0000-0000C9700000}"/>
    <cellStyle name="Total 2 5 7 4 2" xfId="8209" xr:uid="{00000000-0005-0000-0000-0000CA700000}"/>
    <cellStyle name="Total 2 5 7 4 2 2" xfId="17556" xr:uid="{00000000-0005-0000-0000-0000CB700000}"/>
    <cellStyle name="Total 2 5 7 4 2 2 2" xfId="32388" xr:uid="{00000000-0005-0000-0000-0000CC700000}"/>
    <cellStyle name="Total 2 5 7 4 2 3" xfId="19294" xr:uid="{00000000-0005-0000-0000-0000CD700000}"/>
    <cellStyle name="Total 2 5 7 4 3" xfId="14500" xr:uid="{00000000-0005-0000-0000-0000CE700000}"/>
    <cellStyle name="Total 2 5 7 4 3 2" xfId="29332" xr:uid="{00000000-0005-0000-0000-0000CF700000}"/>
    <cellStyle name="Total 2 5 7 4 4" xfId="11176" xr:uid="{00000000-0005-0000-0000-0000D0700000}"/>
    <cellStyle name="Total 2 5 7 4 4 2" xfId="26008" xr:uid="{00000000-0005-0000-0000-0000D1700000}"/>
    <cellStyle name="Total 2 5 7 5" xfId="6284" xr:uid="{00000000-0005-0000-0000-0000D2700000}"/>
    <cellStyle name="Total 2 5 7 5 2" xfId="16468" xr:uid="{00000000-0005-0000-0000-0000D3700000}"/>
    <cellStyle name="Total 2 5 7 5 2 2" xfId="31300" xr:uid="{00000000-0005-0000-0000-0000D4700000}"/>
    <cellStyle name="Total 2 5 7 5 3" xfId="18587" xr:uid="{00000000-0005-0000-0000-0000D5700000}"/>
    <cellStyle name="Total 2 5 7 6" xfId="12538" xr:uid="{00000000-0005-0000-0000-0000D6700000}"/>
    <cellStyle name="Total 2 5 7 6 2" xfId="27370" xr:uid="{00000000-0005-0000-0000-0000D7700000}"/>
    <cellStyle name="Total 2 5 7 7" xfId="10120" xr:uid="{00000000-0005-0000-0000-0000D8700000}"/>
    <cellStyle name="Total 2 5 7 7 2" xfId="24952" xr:uid="{00000000-0005-0000-0000-0000D9700000}"/>
    <cellStyle name="Total 2 5 8" xfId="4298" xr:uid="{00000000-0005-0000-0000-0000DA700000}"/>
    <cellStyle name="Total 2 5 8 2" xfId="8337" xr:uid="{00000000-0005-0000-0000-0000DB700000}"/>
    <cellStyle name="Total 2 5 8 2 2" xfId="17617" xr:uid="{00000000-0005-0000-0000-0000DC700000}"/>
    <cellStyle name="Total 2 5 8 2 2 2" xfId="32449" xr:uid="{00000000-0005-0000-0000-0000DD700000}"/>
    <cellStyle name="Total 2 5 8 2 3" xfId="19325" xr:uid="{00000000-0005-0000-0000-0000DE700000}"/>
    <cellStyle name="Total 2 5 8 3" xfId="14629" xr:uid="{00000000-0005-0000-0000-0000DF700000}"/>
    <cellStyle name="Total 2 5 8 3 2" xfId="29461" xr:uid="{00000000-0005-0000-0000-0000E0700000}"/>
    <cellStyle name="Total 2 5 8 4" xfId="11229" xr:uid="{00000000-0005-0000-0000-0000E1700000}"/>
    <cellStyle name="Total 2 5 8 4 2" xfId="26061" xr:uid="{00000000-0005-0000-0000-0000E2700000}"/>
    <cellStyle name="Total 2 5 9" xfId="4277" xr:uid="{00000000-0005-0000-0000-0000E3700000}"/>
    <cellStyle name="Total 2 5 9 2" xfId="8316" xr:uid="{00000000-0005-0000-0000-0000E4700000}"/>
    <cellStyle name="Total 2 5 9 2 2" xfId="17600" xr:uid="{00000000-0005-0000-0000-0000E5700000}"/>
    <cellStyle name="Total 2 5 9 2 2 2" xfId="32432" xr:uid="{00000000-0005-0000-0000-0000E6700000}"/>
    <cellStyle name="Total 2 5 9 2 3" xfId="19317" xr:uid="{00000000-0005-0000-0000-0000E7700000}"/>
    <cellStyle name="Total 2 5 9 3" xfId="14609" xr:uid="{00000000-0005-0000-0000-0000E8700000}"/>
    <cellStyle name="Total 2 5 9 3 2" xfId="29441" xr:uid="{00000000-0005-0000-0000-0000E9700000}"/>
    <cellStyle name="Total 2 5 9 4" xfId="11218" xr:uid="{00000000-0005-0000-0000-0000EA700000}"/>
    <cellStyle name="Total 2 5 9 4 2" xfId="26050" xr:uid="{00000000-0005-0000-0000-0000EB700000}"/>
    <cellStyle name="Total 2 6" xfId="1272" xr:uid="{00000000-0005-0000-0000-0000EC700000}"/>
    <cellStyle name="Total 2 6 10" xfId="2339" xr:uid="{00000000-0005-0000-0000-0000ED700000}"/>
    <cellStyle name="Total 2 6 10 2" xfId="6451" xr:uid="{00000000-0005-0000-0000-0000EE700000}"/>
    <cellStyle name="Total 2 6 10 2 2" xfId="16543" xr:uid="{00000000-0005-0000-0000-0000EF700000}"/>
    <cellStyle name="Total 2 6 10 2 2 2" xfId="31375" xr:uid="{00000000-0005-0000-0000-0000F0700000}"/>
    <cellStyle name="Total 2 6 10 2 3" xfId="18631" xr:uid="{00000000-0005-0000-0000-0000F1700000}"/>
    <cellStyle name="Total 2 6 10 3" xfId="12679" xr:uid="{00000000-0005-0000-0000-0000F2700000}"/>
    <cellStyle name="Total 2 6 10 3 2" xfId="27511" xr:uid="{00000000-0005-0000-0000-0000F3700000}"/>
    <cellStyle name="Total 2 6 10 4" xfId="10194" xr:uid="{00000000-0005-0000-0000-0000F4700000}"/>
    <cellStyle name="Total 2 6 10 4 2" xfId="25026" xr:uid="{00000000-0005-0000-0000-0000F5700000}"/>
    <cellStyle name="Total 2 6 11" xfId="5301" xr:uid="{00000000-0005-0000-0000-0000F6700000}"/>
    <cellStyle name="Total 2 6 11 2" xfId="9309" xr:uid="{00000000-0005-0000-0000-0000F7700000}"/>
    <cellStyle name="Total 2 6 11 2 2" xfId="18176" xr:uid="{00000000-0005-0000-0000-0000F8700000}"/>
    <cellStyle name="Total 2 6 11 2 2 2" xfId="33008" xr:uid="{00000000-0005-0000-0000-0000F9700000}"/>
    <cellStyle name="Total 2 6 11 2 3" xfId="19695" xr:uid="{00000000-0005-0000-0000-0000FA700000}"/>
    <cellStyle name="Total 2 6 11 3" xfId="15617" xr:uid="{00000000-0005-0000-0000-0000FB700000}"/>
    <cellStyle name="Total 2 6 11 3 2" xfId="30449" xr:uid="{00000000-0005-0000-0000-0000FC700000}"/>
    <cellStyle name="Total 2 6 12" xfId="5459" xr:uid="{00000000-0005-0000-0000-0000FD700000}"/>
    <cellStyle name="Total 2 6 12 2" xfId="15695" xr:uid="{00000000-0005-0000-0000-0000FE700000}"/>
    <cellStyle name="Total 2 6 12 2 2" xfId="30527" xr:uid="{00000000-0005-0000-0000-0000FF700000}"/>
    <cellStyle name="Total 2 6 12 3" xfId="18272" xr:uid="{00000000-0005-0000-0000-000000710000}"/>
    <cellStyle name="Total 2 6 13" xfId="9332" xr:uid="{00000000-0005-0000-0000-000001710000}"/>
    <cellStyle name="Total 2 6 13 2" xfId="24638" xr:uid="{00000000-0005-0000-0000-000002710000}"/>
    <cellStyle name="Total 2 6 14" xfId="5321" xr:uid="{00000000-0005-0000-0000-000003710000}"/>
    <cellStyle name="Total 2 6 14 2" xfId="18195" xr:uid="{00000000-0005-0000-0000-000004710000}"/>
    <cellStyle name="Total 2 6 2" xfId="1371" xr:uid="{00000000-0005-0000-0000-000005710000}"/>
    <cellStyle name="Total 2 6 2 2" xfId="1875" xr:uid="{00000000-0005-0000-0000-000006710000}"/>
    <cellStyle name="Total 2 6 2 2 2" xfId="3382" xr:uid="{00000000-0005-0000-0000-000007710000}"/>
    <cellStyle name="Total 2 6 2 2 2 2" xfId="7445" xr:uid="{00000000-0005-0000-0000-000008710000}"/>
    <cellStyle name="Total 2 6 2 2 2 2 2" xfId="17152" xr:uid="{00000000-0005-0000-0000-000009710000}"/>
    <cellStyle name="Total 2 6 2 2 2 2 2 2" xfId="31984" xr:uid="{00000000-0005-0000-0000-00000A710000}"/>
    <cellStyle name="Total 2 6 2 2 2 2 3" xfId="19018" xr:uid="{00000000-0005-0000-0000-00000B710000}"/>
    <cellStyle name="Total 2 6 2 2 2 3" xfId="13719" xr:uid="{00000000-0005-0000-0000-00000C710000}"/>
    <cellStyle name="Total 2 6 2 2 2 3 2" xfId="28551" xr:uid="{00000000-0005-0000-0000-00000D710000}"/>
    <cellStyle name="Total 2 6 2 2 2 4" xfId="10771" xr:uid="{00000000-0005-0000-0000-00000E710000}"/>
    <cellStyle name="Total 2 6 2 2 2 4 2" xfId="25603" xr:uid="{00000000-0005-0000-0000-00000F710000}"/>
    <cellStyle name="Total 2 6 2 2 3" xfId="4853" xr:uid="{00000000-0005-0000-0000-000010710000}"/>
    <cellStyle name="Total 2 6 2 2 3 2" xfId="8892" xr:uid="{00000000-0005-0000-0000-000011710000}"/>
    <cellStyle name="Total 2 6 2 2 3 2 2" xfId="17933" xr:uid="{00000000-0005-0000-0000-000012710000}"/>
    <cellStyle name="Total 2 6 2 2 3 2 2 2" xfId="32765" xr:uid="{00000000-0005-0000-0000-000013710000}"/>
    <cellStyle name="Total 2 6 2 2 3 2 3" xfId="19535" xr:uid="{00000000-0005-0000-0000-000014710000}"/>
    <cellStyle name="Total 2 6 2 2 3 3" xfId="15177" xr:uid="{00000000-0005-0000-0000-000015710000}"/>
    <cellStyle name="Total 2 6 2 2 3 3 2" xfId="30009" xr:uid="{00000000-0005-0000-0000-000016710000}"/>
    <cellStyle name="Total 2 6 2 2 3 4" xfId="11536" xr:uid="{00000000-0005-0000-0000-000017710000}"/>
    <cellStyle name="Total 2 6 2 2 3 4 2" xfId="26368" xr:uid="{00000000-0005-0000-0000-000018710000}"/>
    <cellStyle name="Total 2 6 2 2 4" xfId="2843" xr:uid="{00000000-0005-0000-0000-000019710000}"/>
    <cellStyle name="Total 2 6 2 2 4 2" xfId="6934" xr:uid="{00000000-0005-0000-0000-00001A710000}"/>
    <cellStyle name="Total 2 6 2 2 4 2 2" xfId="16827" xr:uid="{00000000-0005-0000-0000-00001B710000}"/>
    <cellStyle name="Total 2 6 2 2 4 2 2 2" xfId="31659" xr:uid="{00000000-0005-0000-0000-00001C710000}"/>
    <cellStyle name="Total 2 6 2 2 4 2 3" xfId="18826" xr:uid="{00000000-0005-0000-0000-00001D710000}"/>
    <cellStyle name="Total 2 6 2 2 4 3" xfId="13181" xr:uid="{00000000-0005-0000-0000-00001E710000}"/>
    <cellStyle name="Total 2 6 2 2 4 3 2" xfId="28013" xr:uid="{00000000-0005-0000-0000-00001F710000}"/>
    <cellStyle name="Total 2 6 2 2 4 4" xfId="10480" xr:uid="{00000000-0005-0000-0000-000020710000}"/>
    <cellStyle name="Total 2 6 2 2 4 4 2" xfId="25312" xr:uid="{00000000-0005-0000-0000-000021710000}"/>
    <cellStyle name="Total 2 6 2 2 5" xfId="6007" xr:uid="{00000000-0005-0000-0000-000022710000}"/>
    <cellStyle name="Total 2 6 2 2 5 2" xfId="16199" xr:uid="{00000000-0005-0000-0000-000023710000}"/>
    <cellStyle name="Total 2 6 2 2 5 2 2" xfId="31031" xr:uid="{00000000-0005-0000-0000-000024710000}"/>
    <cellStyle name="Total 2 6 2 2 5 3" xfId="18468" xr:uid="{00000000-0005-0000-0000-000025710000}"/>
    <cellStyle name="Total 2 6 2 2 6" xfId="12269" xr:uid="{00000000-0005-0000-0000-000026710000}"/>
    <cellStyle name="Total 2 6 2 2 6 2" xfId="27101" xr:uid="{00000000-0005-0000-0000-000027710000}"/>
    <cellStyle name="Total 2 6 2 2 7" xfId="9865" xr:uid="{00000000-0005-0000-0000-000028710000}"/>
    <cellStyle name="Total 2 6 2 2 7 2" xfId="24791" xr:uid="{00000000-0005-0000-0000-000029710000}"/>
    <cellStyle name="Total 2 6 2 3" xfId="3331" xr:uid="{00000000-0005-0000-0000-00002A710000}"/>
    <cellStyle name="Total 2 6 2 3 2" xfId="7394" xr:uid="{00000000-0005-0000-0000-00002B710000}"/>
    <cellStyle name="Total 2 6 2 3 2 2" xfId="17127" xr:uid="{00000000-0005-0000-0000-00002C710000}"/>
    <cellStyle name="Total 2 6 2 3 2 2 2" xfId="31959" xr:uid="{00000000-0005-0000-0000-00002D710000}"/>
    <cellStyle name="Total 2 6 2 3 2 3" xfId="19002" xr:uid="{00000000-0005-0000-0000-00002E710000}"/>
    <cellStyle name="Total 2 6 2 3 3" xfId="13668" xr:uid="{00000000-0005-0000-0000-00002F710000}"/>
    <cellStyle name="Total 2 6 2 3 3 2" xfId="28500" xr:uid="{00000000-0005-0000-0000-000030710000}"/>
    <cellStyle name="Total 2 6 2 3 4" xfId="10748" xr:uid="{00000000-0005-0000-0000-000031710000}"/>
    <cellStyle name="Total 2 6 2 3 4 2" xfId="25580" xr:uid="{00000000-0005-0000-0000-000032710000}"/>
    <cellStyle name="Total 2 6 2 4" xfId="4433" xr:uid="{00000000-0005-0000-0000-000033710000}"/>
    <cellStyle name="Total 2 6 2 4 2" xfId="8472" xr:uid="{00000000-0005-0000-0000-000034710000}"/>
    <cellStyle name="Total 2 6 2 4 2 2" xfId="17693" xr:uid="{00000000-0005-0000-0000-000035710000}"/>
    <cellStyle name="Total 2 6 2 4 2 2 2" xfId="32525" xr:uid="{00000000-0005-0000-0000-000036710000}"/>
    <cellStyle name="Total 2 6 2 4 2 3" xfId="19375" xr:uid="{00000000-0005-0000-0000-000037710000}"/>
    <cellStyle name="Total 2 6 2 4 3" xfId="14762" xr:uid="{00000000-0005-0000-0000-000038710000}"/>
    <cellStyle name="Total 2 6 2 4 3 2" xfId="29594" xr:uid="{00000000-0005-0000-0000-000039710000}"/>
    <cellStyle name="Total 2 6 2 4 4" xfId="11301" xr:uid="{00000000-0005-0000-0000-00003A710000}"/>
    <cellStyle name="Total 2 6 2 4 4 2" xfId="26133" xr:uid="{00000000-0005-0000-0000-00003B710000}"/>
    <cellStyle name="Total 2 6 2 5" xfId="2423" xr:uid="{00000000-0005-0000-0000-00003C710000}"/>
    <cellStyle name="Total 2 6 2 5 2" xfId="6535" xr:uid="{00000000-0005-0000-0000-00003D710000}"/>
    <cellStyle name="Total 2 6 2 5 2 2" xfId="16591" xr:uid="{00000000-0005-0000-0000-00003E710000}"/>
    <cellStyle name="Total 2 6 2 5 2 2 2" xfId="31423" xr:uid="{00000000-0005-0000-0000-00003F710000}"/>
    <cellStyle name="Total 2 6 2 5 2 3" xfId="18663" xr:uid="{00000000-0005-0000-0000-000040710000}"/>
    <cellStyle name="Total 2 6 2 5 3" xfId="12762" xr:uid="{00000000-0005-0000-0000-000041710000}"/>
    <cellStyle name="Total 2 6 2 5 3 2" xfId="27594" xr:uid="{00000000-0005-0000-0000-000042710000}"/>
    <cellStyle name="Total 2 6 2 5 4" xfId="10241" xr:uid="{00000000-0005-0000-0000-000043710000}"/>
    <cellStyle name="Total 2 6 2 5 4 2" xfId="25073" xr:uid="{00000000-0005-0000-0000-000044710000}"/>
    <cellStyle name="Total 2 6 2 6" xfId="5548" xr:uid="{00000000-0005-0000-0000-000045710000}"/>
    <cellStyle name="Total 2 6 2 6 2" xfId="15783" xr:uid="{00000000-0005-0000-0000-000046710000}"/>
    <cellStyle name="Total 2 6 2 6 2 2" xfId="30615" xr:uid="{00000000-0005-0000-0000-000047710000}"/>
    <cellStyle name="Total 2 6 2 6 3" xfId="18305" xr:uid="{00000000-0005-0000-0000-000048710000}"/>
    <cellStyle name="Total 2 6 2 7" xfId="11798" xr:uid="{00000000-0005-0000-0000-000049710000}"/>
    <cellStyle name="Total 2 6 2 7 2" xfId="26630" xr:uid="{00000000-0005-0000-0000-00004A710000}"/>
    <cellStyle name="Total 2 6 2 8" xfId="9469" xr:uid="{00000000-0005-0000-0000-00004B710000}"/>
    <cellStyle name="Total 2 6 2 8 2" xfId="19773" xr:uid="{00000000-0005-0000-0000-00004C710000}"/>
    <cellStyle name="Total 2 6 3" xfId="1543" xr:uid="{00000000-0005-0000-0000-00004D710000}"/>
    <cellStyle name="Total 2 6 3 2" xfId="2040" xr:uid="{00000000-0005-0000-0000-00004E710000}"/>
    <cellStyle name="Total 2 6 3 2 2" xfId="3548" xr:uid="{00000000-0005-0000-0000-00004F710000}"/>
    <cellStyle name="Total 2 6 3 2 2 2" xfId="7610" xr:uid="{00000000-0005-0000-0000-000050710000}"/>
    <cellStyle name="Total 2 6 3 2 2 2 2" xfId="17252" xr:uid="{00000000-0005-0000-0000-000051710000}"/>
    <cellStyle name="Total 2 6 3 2 2 2 2 2" xfId="32084" xr:uid="{00000000-0005-0000-0000-000052710000}"/>
    <cellStyle name="Total 2 6 3 2 2 2 3" xfId="19075" xr:uid="{00000000-0005-0000-0000-000053710000}"/>
    <cellStyle name="Total 2 6 3 2 2 3" xfId="13884" xr:uid="{00000000-0005-0000-0000-000054710000}"/>
    <cellStyle name="Total 2 6 3 2 2 3 2" xfId="28716" xr:uid="{00000000-0005-0000-0000-000055710000}"/>
    <cellStyle name="Total 2 6 3 2 2 4" xfId="10869" xr:uid="{00000000-0005-0000-0000-000056710000}"/>
    <cellStyle name="Total 2 6 3 2 2 4 2" xfId="25701" xr:uid="{00000000-0005-0000-0000-000057710000}"/>
    <cellStyle name="Total 2 6 3 2 3" xfId="5008" xr:uid="{00000000-0005-0000-0000-000058710000}"/>
    <cellStyle name="Total 2 6 3 2 3 2" xfId="9047" xr:uid="{00000000-0005-0000-0000-000059710000}"/>
    <cellStyle name="Total 2 6 3 2 3 2 2" xfId="17985" xr:uid="{00000000-0005-0000-0000-00005A710000}"/>
    <cellStyle name="Total 2 6 3 2 3 2 2 2" xfId="32817" xr:uid="{00000000-0005-0000-0000-00005B710000}"/>
    <cellStyle name="Total 2 6 3 2 3 2 3" xfId="19567" xr:uid="{00000000-0005-0000-0000-00005C710000}"/>
    <cellStyle name="Total 2 6 3 2 3 3" xfId="15330" xr:uid="{00000000-0005-0000-0000-00005D710000}"/>
    <cellStyle name="Total 2 6 3 2 3 3 2" xfId="30162" xr:uid="{00000000-0005-0000-0000-00005E710000}"/>
    <cellStyle name="Total 2 6 3 2 3 4" xfId="11586" xr:uid="{00000000-0005-0000-0000-00005F710000}"/>
    <cellStyle name="Total 2 6 3 2 3 4 2" xfId="26418" xr:uid="{00000000-0005-0000-0000-000060710000}"/>
    <cellStyle name="Total 2 6 3 2 4" xfId="2998" xr:uid="{00000000-0005-0000-0000-000061710000}"/>
    <cellStyle name="Total 2 6 3 2 4 2" xfId="7078" xr:uid="{00000000-0005-0000-0000-000062710000}"/>
    <cellStyle name="Total 2 6 3 2 4 2 2" xfId="16877" xr:uid="{00000000-0005-0000-0000-000063710000}"/>
    <cellStyle name="Total 2 6 3 2 4 2 2 2" xfId="31709" xr:uid="{00000000-0005-0000-0000-000064710000}"/>
    <cellStyle name="Total 2 6 3 2 4 2 3" xfId="18859" xr:uid="{00000000-0005-0000-0000-000065710000}"/>
    <cellStyle name="Total 2 6 3 2 4 3" xfId="13336" xr:uid="{00000000-0005-0000-0000-000066710000}"/>
    <cellStyle name="Total 2 6 3 2 4 3 2" xfId="28168" xr:uid="{00000000-0005-0000-0000-000067710000}"/>
    <cellStyle name="Total 2 6 3 2 4 4" xfId="10532" xr:uid="{00000000-0005-0000-0000-000068710000}"/>
    <cellStyle name="Total 2 6 3 2 4 4 2" xfId="25364" xr:uid="{00000000-0005-0000-0000-000069710000}"/>
    <cellStyle name="Total 2 6 3 2 5" xfId="6170" xr:uid="{00000000-0005-0000-0000-00006A710000}"/>
    <cellStyle name="Total 2 6 3 2 5 2" xfId="16357" xr:uid="{00000000-0005-0000-0000-00006B710000}"/>
    <cellStyle name="Total 2 6 3 2 5 2 2" xfId="31189" xr:uid="{00000000-0005-0000-0000-00006C710000}"/>
    <cellStyle name="Total 2 6 3 2 5 3" xfId="18500" xr:uid="{00000000-0005-0000-0000-00006D710000}"/>
    <cellStyle name="Total 2 6 3 2 6" xfId="12427" xr:uid="{00000000-0005-0000-0000-00006E710000}"/>
    <cellStyle name="Total 2 6 3 2 6 2" xfId="27259" xr:uid="{00000000-0005-0000-0000-00006F710000}"/>
    <cellStyle name="Total 2 6 3 2 7" xfId="10009" xr:uid="{00000000-0005-0000-0000-000070710000}"/>
    <cellStyle name="Total 2 6 3 2 7 2" xfId="24841" xr:uid="{00000000-0005-0000-0000-000071710000}"/>
    <cellStyle name="Total 2 6 3 3" xfId="3167" xr:uid="{00000000-0005-0000-0000-000072710000}"/>
    <cellStyle name="Total 2 6 3 3 2" xfId="7231" xr:uid="{00000000-0005-0000-0000-000073710000}"/>
    <cellStyle name="Total 2 6 3 3 2 2" xfId="17007" xr:uid="{00000000-0005-0000-0000-000074710000}"/>
    <cellStyle name="Total 2 6 3 3 2 2 2" xfId="31839" xr:uid="{00000000-0005-0000-0000-000075710000}"/>
    <cellStyle name="Total 2 6 3 3 2 3" xfId="18949" xr:uid="{00000000-0005-0000-0000-000076710000}"/>
    <cellStyle name="Total 2 6 3 3 3" xfId="13505" xr:uid="{00000000-0005-0000-0000-000077710000}"/>
    <cellStyle name="Total 2 6 3 3 3 2" xfId="28337" xr:uid="{00000000-0005-0000-0000-000078710000}"/>
    <cellStyle name="Total 2 6 3 3 4" xfId="10658" xr:uid="{00000000-0005-0000-0000-000079710000}"/>
    <cellStyle name="Total 2 6 3 3 4 2" xfId="25490" xr:uid="{00000000-0005-0000-0000-00007A710000}"/>
    <cellStyle name="Total 2 6 3 4" xfId="4588" xr:uid="{00000000-0005-0000-0000-00007B710000}"/>
    <cellStyle name="Total 2 6 3 4 2" xfId="8627" xr:uid="{00000000-0005-0000-0000-00007C710000}"/>
    <cellStyle name="Total 2 6 3 4 2 2" xfId="17745" xr:uid="{00000000-0005-0000-0000-00007D710000}"/>
    <cellStyle name="Total 2 6 3 4 2 2 2" xfId="32577" xr:uid="{00000000-0005-0000-0000-00007E710000}"/>
    <cellStyle name="Total 2 6 3 4 2 3" xfId="19407" xr:uid="{00000000-0005-0000-0000-00007F710000}"/>
    <cellStyle name="Total 2 6 3 4 3" xfId="14915" xr:uid="{00000000-0005-0000-0000-000080710000}"/>
    <cellStyle name="Total 2 6 3 4 3 2" xfId="29747" xr:uid="{00000000-0005-0000-0000-000081710000}"/>
    <cellStyle name="Total 2 6 3 4 4" xfId="11351" xr:uid="{00000000-0005-0000-0000-000082710000}"/>
    <cellStyle name="Total 2 6 3 4 4 2" xfId="26183" xr:uid="{00000000-0005-0000-0000-000083710000}"/>
    <cellStyle name="Total 2 6 3 5" xfId="2578" xr:uid="{00000000-0005-0000-0000-000084710000}"/>
    <cellStyle name="Total 2 6 3 5 2" xfId="6684" xr:uid="{00000000-0005-0000-0000-000085710000}"/>
    <cellStyle name="Total 2 6 3 5 2 2" xfId="16642" xr:uid="{00000000-0005-0000-0000-000086710000}"/>
    <cellStyle name="Total 2 6 3 5 2 2 2" xfId="31474" xr:uid="{00000000-0005-0000-0000-000087710000}"/>
    <cellStyle name="Total 2 6 3 5 2 3" xfId="18695" xr:uid="{00000000-0005-0000-0000-000088710000}"/>
    <cellStyle name="Total 2 6 3 5 3" xfId="12916" xr:uid="{00000000-0005-0000-0000-000089710000}"/>
    <cellStyle name="Total 2 6 3 5 3 2" xfId="27748" xr:uid="{00000000-0005-0000-0000-00008A710000}"/>
    <cellStyle name="Total 2 6 3 5 4" xfId="10292" xr:uid="{00000000-0005-0000-0000-00008B710000}"/>
    <cellStyle name="Total 2 6 3 5 4 2" xfId="25124" xr:uid="{00000000-0005-0000-0000-00008C710000}"/>
    <cellStyle name="Total 2 6 3 6" xfId="5701" xr:uid="{00000000-0005-0000-0000-00008D710000}"/>
    <cellStyle name="Total 2 6 3 6 2" xfId="15936" xr:uid="{00000000-0005-0000-0000-00008E710000}"/>
    <cellStyle name="Total 2 6 3 6 2 2" xfId="30768" xr:uid="{00000000-0005-0000-0000-00008F710000}"/>
    <cellStyle name="Total 2 6 3 6 3" xfId="18337" xr:uid="{00000000-0005-0000-0000-000090710000}"/>
    <cellStyle name="Total 2 6 3 7" xfId="11956" xr:uid="{00000000-0005-0000-0000-000091710000}"/>
    <cellStyle name="Total 2 6 3 7 2" xfId="26788" xr:uid="{00000000-0005-0000-0000-000092710000}"/>
    <cellStyle name="Total 2 6 3 8" xfId="9614" xr:uid="{00000000-0005-0000-0000-000093710000}"/>
    <cellStyle name="Total 2 6 3 8 2" xfId="19916" xr:uid="{00000000-0005-0000-0000-000094710000}"/>
    <cellStyle name="Total 2 6 4" xfId="1596" xr:uid="{00000000-0005-0000-0000-000095710000}"/>
    <cellStyle name="Total 2 6 4 2" xfId="2093" xr:uid="{00000000-0005-0000-0000-000096710000}"/>
    <cellStyle name="Total 2 6 4 2 2" xfId="4025" xr:uid="{00000000-0005-0000-0000-000097710000}"/>
    <cellStyle name="Total 2 6 4 2 2 2" xfId="8072" xr:uid="{00000000-0005-0000-0000-000098710000}"/>
    <cellStyle name="Total 2 6 4 2 2 2 2" xfId="17482" xr:uid="{00000000-0005-0000-0000-000099710000}"/>
    <cellStyle name="Total 2 6 4 2 2 2 2 2" xfId="32314" xr:uid="{00000000-0005-0000-0000-00009A710000}"/>
    <cellStyle name="Total 2 6 4 2 2 2 3" xfId="19240" xr:uid="{00000000-0005-0000-0000-00009B710000}"/>
    <cellStyle name="Total 2 6 4 2 2 3" xfId="14357" xr:uid="{00000000-0005-0000-0000-00009C710000}"/>
    <cellStyle name="Total 2 6 4 2 2 3 2" xfId="29189" xr:uid="{00000000-0005-0000-0000-00009D710000}"/>
    <cellStyle name="Total 2 6 4 2 2 4" xfId="11098" xr:uid="{00000000-0005-0000-0000-00009E710000}"/>
    <cellStyle name="Total 2 6 4 2 2 4 2" xfId="25930" xr:uid="{00000000-0005-0000-0000-00009F710000}"/>
    <cellStyle name="Total 2 6 4 2 3" xfId="5061" xr:uid="{00000000-0005-0000-0000-0000A0710000}"/>
    <cellStyle name="Total 2 6 4 2 3 2" xfId="9100" xr:uid="{00000000-0005-0000-0000-0000A1710000}"/>
    <cellStyle name="Total 2 6 4 2 3 2 2" xfId="18033" xr:uid="{00000000-0005-0000-0000-0000A2710000}"/>
    <cellStyle name="Total 2 6 4 2 3 2 2 2" xfId="32865" xr:uid="{00000000-0005-0000-0000-0000A3710000}"/>
    <cellStyle name="Total 2 6 4 2 3 2 3" xfId="19599" xr:uid="{00000000-0005-0000-0000-0000A4710000}"/>
    <cellStyle name="Total 2 6 4 2 3 3" xfId="15382" xr:uid="{00000000-0005-0000-0000-0000A5710000}"/>
    <cellStyle name="Total 2 6 4 2 3 3 2" xfId="30214" xr:uid="{00000000-0005-0000-0000-0000A6710000}"/>
    <cellStyle name="Total 2 6 4 2 3 4" xfId="11633" xr:uid="{00000000-0005-0000-0000-0000A7710000}"/>
    <cellStyle name="Total 2 6 4 2 3 4 2" xfId="26465" xr:uid="{00000000-0005-0000-0000-0000A8710000}"/>
    <cellStyle name="Total 2 6 4 2 4" xfId="3051" xr:uid="{00000000-0005-0000-0000-0000A9710000}"/>
    <cellStyle name="Total 2 6 4 2 4 2" xfId="7126" xr:uid="{00000000-0005-0000-0000-0000AA710000}"/>
    <cellStyle name="Total 2 6 4 2 4 2 2" xfId="16924" xr:uid="{00000000-0005-0000-0000-0000AB710000}"/>
    <cellStyle name="Total 2 6 4 2 4 2 2 2" xfId="31756" xr:uid="{00000000-0005-0000-0000-0000AC710000}"/>
    <cellStyle name="Total 2 6 4 2 4 2 3" xfId="18892" xr:uid="{00000000-0005-0000-0000-0000AD710000}"/>
    <cellStyle name="Total 2 6 4 2 4 3" xfId="13389" xr:uid="{00000000-0005-0000-0000-0000AE710000}"/>
    <cellStyle name="Total 2 6 4 2 4 3 2" xfId="28221" xr:uid="{00000000-0005-0000-0000-0000AF710000}"/>
    <cellStyle name="Total 2 6 4 2 4 4" xfId="10580" xr:uid="{00000000-0005-0000-0000-0000B0710000}"/>
    <cellStyle name="Total 2 6 4 2 4 4 2" xfId="25412" xr:uid="{00000000-0005-0000-0000-0000B1710000}"/>
    <cellStyle name="Total 2 6 4 2 5" xfId="6218" xr:uid="{00000000-0005-0000-0000-0000B2710000}"/>
    <cellStyle name="Total 2 6 4 2 5 2" xfId="16404" xr:uid="{00000000-0005-0000-0000-0000B3710000}"/>
    <cellStyle name="Total 2 6 4 2 5 2 2" xfId="31236" xr:uid="{00000000-0005-0000-0000-0000B4710000}"/>
    <cellStyle name="Total 2 6 4 2 5 3" xfId="18533" xr:uid="{00000000-0005-0000-0000-0000B5710000}"/>
    <cellStyle name="Total 2 6 4 2 6" xfId="12474" xr:uid="{00000000-0005-0000-0000-0000B6710000}"/>
    <cellStyle name="Total 2 6 4 2 6 2" xfId="27306" xr:uid="{00000000-0005-0000-0000-0000B7710000}"/>
    <cellStyle name="Total 2 6 4 2 7" xfId="10056" xr:uid="{00000000-0005-0000-0000-0000B8710000}"/>
    <cellStyle name="Total 2 6 4 2 7 2" xfId="24888" xr:uid="{00000000-0005-0000-0000-0000B9710000}"/>
    <cellStyle name="Total 2 6 4 3" xfId="3447" xr:uid="{00000000-0005-0000-0000-0000BA710000}"/>
    <cellStyle name="Total 2 6 4 3 2" xfId="7510" xr:uid="{00000000-0005-0000-0000-0000BB710000}"/>
    <cellStyle name="Total 2 6 4 3 2 2" xfId="17194" xr:uid="{00000000-0005-0000-0000-0000BC710000}"/>
    <cellStyle name="Total 2 6 4 3 2 2 2" xfId="32026" xr:uid="{00000000-0005-0000-0000-0000BD710000}"/>
    <cellStyle name="Total 2 6 4 3 2 3" xfId="19039" xr:uid="{00000000-0005-0000-0000-0000BE710000}"/>
    <cellStyle name="Total 2 6 4 3 3" xfId="13784" xr:uid="{00000000-0005-0000-0000-0000BF710000}"/>
    <cellStyle name="Total 2 6 4 3 3 2" xfId="28616" xr:uid="{00000000-0005-0000-0000-0000C0710000}"/>
    <cellStyle name="Total 2 6 4 3 4" xfId="10813" xr:uid="{00000000-0005-0000-0000-0000C1710000}"/>
    <cellStyle name="Total 2 6 4 3 4 2" xfId="25645" xr:uid="{00000000-0005-0000-0000-0000C2710000}"/>
    <cellStyle name="Total 2 6 4 4" xfId="4641" xr:uid="{00000000-0005-0000-0000-0000C3710000}"/>
    <cellStyle name="Total 2 6 4 4 2" xfId="8680" xr:uid="{00000000-0005-0000-0000-0000C4710000}"/>
    <cellStyle name="Total 2 6 4 4 2 2" xfId="17793" xr:uid="{00000000-0005-0000-0000-0000C5710000}"/>
    <cellStyle name="Total 2 6 4 4 2 2 2" xfId="32625" xr:uid="{00000000-0005-0000-0000-0000C6710000}"/>
    <cellStyle name="Total 2 6 4 4 2 3" xfId="19439" xr:uid="{00000000-0005-0000-0000-0000C7710000}"/>
    <cellStyle name="Total 2 6 4 4 3" xfId="14967" xr:uid="{00000000-0005-0000-0000-0000C8710000}"/>
    <cellStyle name="Total 2 6 4 4 3 2" xfId="29799" xr:uid="{00000000-0005-0000-0000-0000C9710000}"/>
    <cellStyle name="Total 2 6 4 4 4" xfId="11398" xr:uid="{00000000-0005-0000-0000-0000CA710000}"/>
    <cellStyle name="Total 2 6 4 4 4 2" xfId="26230" xr:uid="{00000000-0005-0000-0000-0000CB710000}"/>
    <cellStyle name="Total 2 6 4 5" xfId="2631" xr:uid="{00000000-0005-0000-0000-0000CC710000}"/>
    <cellStyle name="Total 2 6 4 5 2" xfId="6732" xr:uid="{00000000-0005-0000-0000-0000CD710000}"/>
    <cellStyle name="Total 2 6 4 5 2 2" xfId="16689" xr:uid="{00000000-0005-0000-0000-0000CE710000}"/>
    <cellStyle name="Total 2 6 4 5 2 2 2" xfId="31521" xr:uid="{00000000-0005-0000-0000-0000CF710000}"/>
    <cellStyle name="Total 2 6 4 5 2 3" xfId="18728" xr:uid="{00000000-0005-0000-0000-0000D0710000}"/>
    <cellStyle name="Total 2 6 4 5 3" xfId="12969" xr:uid="{00000000-0005-0000-0000-0000D1710000}"/>
    <cellStyle name="Total 2 6 4 5 3 2" xfId="27801" xr:uid="{00000000-0005-0000-0000-0000D2710000}"/>
    <cellStyle name="Total 2 6 4 5 4" xfId="10340" xr:uid="{00000000-0005-0000-0000-0000D3710000}"/>
    <cellStyle name="Total 2 6 4 5 4 2" xfId="25172" xr:uid="{00000000-0005-0000-0000-0000D4710000}"/>
    <cellStyle name="Total 2 6 4 6" xfId="5748" xr:uid="{00000000-0005-0000-0000-0000D5710000}"/>
    <cellStyle name="Total 2 6 4 6 2" xfId="15983" xr:uid="{00000000-0005-0000-0000-0000D6710000}"/>
    <cellStyle name="Total 2 6 4 6 2 2" xfId="30815" xr:uid="{00000000-0005-0000-0000-0000D7710000}"/>
    <cellStyle name="Total 2 6 4 6 3" xfId="18369" xr:uid="{00000000-0005-0000-0000-0000D8710000}"/>
    <cellStyle name="Total 2 6 4 7" xfId="12003" xr:uid="{00000000-0005-0000-0000-0000D9710000}"/>
    <cellStyle name="Total 2 6 4 7 2" xfId="26835" xr:uid="{00000000-0005-0000-0000-0000DA710000}"/>
    <cellStyle name="Total 2 6 4 8" xfId="9662" xr:uid="{00000000-0005-0000-0000-0000DB710000}"/>
    <cellStyle name="Total 2 6 4 8 2" xfId="19963" xr:uid="{00000000-0005-0000-0000-0000DC710000}"/>
    <cellStyle name="Total 2 6 5" xfId="1646" xr:uid="{00000000-0005-0000-0000-0000DD710000}"/>
    <cellStyle name="Total 2 6 5 2" xfId="2143" xr:uid="{00000000-0005-0000-0000-0000DE710000}"/>
    <cellStyle name="Total 2 6 5 2 2" xfId="4123" xr:uid="{00000000-0005-0000-0000-0000DF710000}"/>
    <cellStyle name="Total 2 6 5 2 2 2" xfId="8167" xr:uid="{00000000-0005-0000-0000-0000E0710000}"/>
    <cellStyle name="Total 2 6 5 2 2 2 2" xfId="17529" xr:uid="{00000000-0005-0000-0000-0000E1710000}"/>
    <cellStyle name="Total 2 6 5 2 2 2 2 2" xfId="32361" xr:uid="{00000000-0005-0000-0000-0000E2710000}"/>
    <cellStyle name="Total 2 6 5 2 2 2 3" xfId="19274" xr:uid="{00000000-0005-0000-0000-0000E3710000}"/>
    <cellStyle name="Total 2 6 5 2 2 3" xfId="14455" xr:uid="{00000000-0005-0000-0000-0000E4710000}"/>
    <cellStyle name="Total 2 6 5 2 2 3 2" xfId="29287" xr:uid="{00000000-0005-0000-0000-0000E5710000}"/>
    <cellStyle name="Total 2 6 5 2 2 4" xfId="11147" xr:uid="{00000000-0005-0000-0000-0000E6710000}"/>
    <cellStyle name="Total 2 6 5 2 2 4 2" xfId="25979" xr:uid="{00000000-0005-0000-0000-0000E7710000}"/>
    <cellStyle name="Total 2 6 5 2 3" xfId="5111" xr:uid="{00000000-0005-0000-0000-0000E8710000}"/>
    <cellStyle name="Total 2 6 5 2 3 2" xfId="9150" xr:uid="{00000000-0005-0000-0000-0000E9710000}"/>
    <cellStyle name="Total 2 6 5 2 3 2 2" xfId="18078" xr:uid="{00000000-0005-0000-0000-0000EA710000}"/>
    <cellStyle name="Total 2 6 5 2 3 2 2 2" xfId="32910" xr:uid="{00000000-0005-0000-0000-0000EB710000}"/>
    <cellStyle name="Total 2 6 5 2 3 2 3" xfId="19631" xr:uid="{00000000-0005-0000-0000-0000EC710000}"/>
    <cellStyle name="Total 2 6 5 2 3 3" xfId="15431" xr:uid="{00000000-0005-0000-0000-0000ED710000}"/>
    <cellStyle name="Total 2 6 5 2 3 3 2" xfId="30263" xr:uid="{00000000-0005-0000-0000-0000EE710000}"/>
    <cellStyle name="Total 2 6 5 2 3 4" xfId="11677" xr:uid="{00000000-0005-0000-0000-0000EF710000}"/>
    <cellStyle name="Total 2 6 5 2 3 4 2" xfId="26509" xr:uid="{00000000-0005-0000-0000-0000F0710000}"/>
    <cellStyle name="Total 2 6 5 2 4" xfId="3101" xr:uid="{00000000-0005-0000-0000-0000F1710000}"/>
    <cellStyle name="Total 2 6 5 2 4 2" xfId="7171" xr:uid="{00000000-0005-0000-0000-0000F2710000}"/>
    <cellStyle name="Total 2 6 5 2 4 2 2" xfId="16968" xr:uid="{00000000-0005-0000-0000-0000F3710000}"/>
    <cellStyle name="Total 2 6 5 2 4 2 2 2" xfId="31800" xr:uid="{00000000-0005-0000-0000-0000F4710000}"/>
    <cellStyle name="Total 2 6 5 2 4 2 3" xfId="18925" xr:uid="{00000000-0005-0000-0000-0000F5710000}"/>
    <cellStyle name="Total 2 6 5 2 4 3" xfId="13439" xr:uid="{00000000-0005-0000-0000-0000F6710000}"/>
    <cellStyle name="Total 2 6 5 2 4 3 2" xfId="28271" xr:uid="{00000000-0005-0000-0000-0000F7710000}"/>
    <cellStyle name="Total 2 6 5 2 4 4" xfId="10625" xr:uid="{00000000-0005-0000-0000-0000F8710000}"/>
    <cellStyle name="Total 2 6 5 2 4 4 2" xfId="25457" xr:uid="{00000000-0005-0000-0000-0000F9710000}"/>
    <cellStyle name="Total 2 6 5 2 5" xfId="6263" xr:uid="{00000000-0005-0000-0000-0000FA710000}"/>
    <cellStyle name="Total 2 6 5 2 5 2" xfId="16448" xr:uid="{00000000-0005-0000-0000-0000FB710000}"/>
    <cellStyle name="Total 2 6 5 2 5 2 2" xfId="31280" xr:uid="{00000000-0005-0000-0000-0000FC710000}"/>
    <cellStyle name="Total 2 6 5 2 5 3" xfId="18566" xr:uid="{00000000-0005-0000-0000-0000FD710000}"/>
    <cellStyle name="Total 2 6 5 2 6" xfId="12518" xr:uid="{00000000-0005-0000-0000-0000FE710000}"/>
    <cellStyle name="Total 2 6 5 2 6 2" xfId="27350" xr:uid="{00000000-0005-0000-0000-0000FF710000}"/>
    <cellStyle name="Total 2 6 5 2 7" xfId="10100" xr:uid="{00000000-0005-0000-0000-000000720000}"/>
    <cellStyle name="Total 2 6 5 2 7 2" xfId="24932" xr:uid="{00000000-0005-0000-0000-000001720000}"/>
    <cellStyle name="Total 2 6 5 3" xfId="3773" xr:uid="{00000000-0005-0000-0000-000002720000}"/>
    <cellStyle name="Total 2 6 5 3 2" xfId="7829" xr:uid="{00000000-0005-0000-0000-000003720000}"/>
    <cellStyle name="Total 2 6 5 3 2 2" xfId="17361" xr:uid="{00000000-0005-0000-0000-000004720000}"/>
    <cellStyle name="Total 2 6 5 3 2 2 2" xfId="32193" xr:uid="{00000000-0005-0000-0000-000005720000}"/>
    <cellStyle name="Total 2 6 5 3 2 3" xfId="19154" xr:uid="{00000000-0005-0000-0000-000006720000}"/>
    <cellStyle name="Total 2 6 5 3 3" xfId="14108" xr:uid="{00000000-0005-0000-0000-000007720000}"/>
    <cellStyle name="Total 2 6 5 3 3 2" xfId="28940" xr:uid="{00000000-0005-0000-0000-000008720000}"/>
    <cellStyle name="Total 2 6 5 3 4" xfId="10977" xr:uid="{00000000-0005-0000-0000-000009720000}"/>
    <cellStyle name="Total 2 6 5 3 4 2" xfId="25809" xr:uid="{00000000-0005-0000-0000-00000A720000}"/>
    <cellStyle name="Total 2 6 5 4" xfId="4691" xr:uid="{00000000-0005-0000-0000-00000B720000}"/>
    <cellStyle name="Total 2 6 5 4 2" xfId="8730" xr:uid="{00000000-0005-0000-0000-00000C720000}"/>
    <cellStyle name="Total 2 6 5 4 2 2" xfId="17838" xr:uid="{00000000-0005-0000-0000-00000D720000}"/>
    <cellStyle name="Total 2 6 5 4 2 2 2" xfId="32670" xr:uid="{00000000-0005-0000-0000-00000E720000}"/>
    <cellStyle name="Total 2 6 5 4 2 3" xfId="19471" xr:uid="{00000000-0005-0000-0000-00000F720000}"/>
    <cellStyle name="Total 2 6 5 4 3" xfId="15016" xr:uid="{00000000-0005-0000-0000-000010720000}"/>
    <cellStyle name="Total 2 6 5 4 3 2" xfId="29848" xr:uid="{00000000-0005-0000-0000-000011720000}"/>
    <cellStyle name="Total 2 6 5 4 4" xfId="11442" xr:uid="{00000000-0005-0000-0000-000012720000}"/>
    <cellStyle name="Total 2 6 5 4 4 2" xfId="26274" xr:uid="{00000000-0005-0000-0000-000013720000}"/>
    <cellStyle name="Total 2 6 5 5" xfId="2681" xr:uid="{00000000-0005-0000-0000-000014720000}"/>
    <cellStyle name="Total 2 6 5 5 2" xfId="6777" xr:uid="{00000000-0005-0000-0000-000015720000}"/>
    <cellStyle name="Total 2 6 5 5 2 2" xfId="16733" xr:uid="{00000000-0005-0000-0000-000016720000}"/>
    <cellStyle name="Total 2 6 5 5 2 2 2" xfId="31565" xr:uid="{00000000-0005-0000-0000-000017720000}"/>
    <cellStyle name="Total 2 6 5 5 2 3" xfId="18761" xr:uid="{00000000-0005-0000-0000-000018720000}"/>
    <cellStyle name="Total 2 6 5 5 3" xfId="13019" xr:uid="{00000000-0005-0000-0000-000019720000}"/>
    <cellStyle name="Total 2 6 5 5 3 2" xfId="27851" xr:uid="{00000000-0005-0000-0000-00001A720000}"/>
    <cellStyle name="Total 2 6 5 5 4" xfId="10385" xr:uid="{00000000-0005-0000-0000-00001B720000}"/>
    <cellStyle name="Total 2 6 5 5 4 2" xfId="25217" xr:uid="{00000000-0005-0000-0000-00001C720000}"/>
    <cellStyle name="Total 2 6 5 6" xfId="5793" xr:uid="{00000000-0005-0000-0000-00001D720000}"/>
    <cellStyle name="Total 2 6 5 6 2" xfId="16027" xr:uid="{00000000-0005-0000-0000-00001E720000}"/>
    <cellStyle name="Total 2 6 5 6 2 2" xfId="30859" xr:uid="{00000000-0005-0000-0000-00001F720000}"/>
    <cellStyle name="Total 2 6 5 6 3" xfId="18402" xr:uid="{00000000-0005-0000-0000-000020720000}"/>
    <cellStyle name="Total 2 6 5 7" xfId="12047" xr:uid="{00000000-0005-0000-0000-000021720000}"/>
    <cellStyle name="Total 2 6 5 7 2" xfId="26879" xr:uid="{00000000-0005-0000-0000-000022720000}"/>
    <cellStyle name="Total 2 6 5 8" xfId="9707" xr:uid="{00000000-0005-0000-0000-000023720000}"/>
    <cellStyle name="Total 2 6 5 8 2" xfId="20007" xr:uid="{00000000-0005-0000-0000-000024720000}"/>
    <cellStyle name="Total 2 6 6" xfId="1797" xr:uid="{00000000-0005-0000-0000-000025720000}"/>
    <cellStyle name="Total 2 6 6 2" xfId="4064" xr:uid="{00000000-0005-0000-0000-000026720000}"/>
    <cellStyle name="Total 2 6 6 2 2" xfId="8111" xr:uid="{00000000-0005-0000-0000-000027720000}"/>
    <cellStyle name="Total 2 6 6 2 2 2" xfId="17501" xr:uid="{00000000-0005-0000-0000-000028720000}"/>
    <cellStyle name="Total 2 6 6 2 2 2 2" xfId="32333" xr:uid="{00000000-0005-0000-0000-000029720000}"/>
    <cellStyle name="Total 2 6 6 2 2 3" xfId="19253" xr:uid="{00000000-0005-0000-0000-00002A720000}"/>
    <cellStyle name="Total 2 6 6 2 3" xfId="14396" xr:uid="{00000000-0005-0000-0000-00002B720000}"/>
    <cellStyle name="Total 2 6 6 2 3 2" xfId="29228" xr:uid="{00000000-0005-0000-0000-00002C720000}"/>
    <cellStyle name="Total 2 6 6 2 4" xfId="11117" xr:uid="{00000000-0005-0000-0000-00002D720000}"/>
    <cellStyle name="Total 2 6 6 2 4 2" xfId="25949" xr:uid="{00000000-0005-0000-0000-00002E720000}"/>
    <cellStyle name="Total 2 6 6 3" xfId="4775" xr:uid="{00000000-0005-0000-0000-00002F720000}"/>
    <cellStyle name="Total 2 6 6 3 2" xfId="8814" xr:uid="{00000000-0005-0000-0000-000030720000}"/>
    <cellStyle name="Total 2 6 6 3 2 2" xfId="17886" xr:uid="{00000000-0005-0000-0000-000031720000}"/>
    <cellStyle name="Total 2 6 6 3 2 2 2" xfId="32718" xr:uid="{00000000-0005-0000-0000-000032720000}"/>
    <cellStyle name="Total 2 6 6 3 2 3" xfId="19503" xr:uid="{00000000-0005-0000-0000-000033720000}"/>
    <cellStyle name="Total 2 6 6 3 3" xfId="15099" xr:uid="{00000000-0005-0000-0000-000034720000}"/>
    <cellStyle name="Total 2 6 6 3 3 2" xfId="29931" xr:uid="{00000000-0005-0000-0000-000035720000}"/>
    <cellStyle name="Total 2 6 6 3 4" xfId="11489" xr:uid="{00000000-0005-0000-0000-000036720000}"/>
    <cellStyle name="Total 2 6 6 3 4 2" xfId="26321" xr:uid="{00000000-0005-0000-0000-000037720000}"/>
    <cellStyle name="Total 2 6 6 4" xfId="2765" xr:uid="{00000000-0005-0000-0000-000038720000}"/>
    <cellStyle name="Total 2 6 6 4 2" xfId="6856" xr:uid="{00000000-0005-0000-0000-000039720000}"/>
    <cellStyle name="Total 2 6 6 4 2 2" xfId="16780" xr:uid="{00000000-0005-0000-0000-00003A720000}"/>
    <cellStyle name="Total 2 6 6 4 2 2 2" xfId="31612" xr:uid="{00000000-0005-0000-0000-00003B720000}"/>
    <cellStyle name="Total 2 6 6 4 2 3" xfId="18794" xr:uid="{00000000-0005-0000-0000-00003C720000}"/>
    <cellStyle name="Total 2 6 6 4 3" xfId="13103" xr:uid="{00000000-0005-0000-0000-00003D720000}"/>
    <cellStyle name="Total 2 6 6 4 3 2" xfId="27935" xr:uid="{00000000-0005-0000-0000-00003E720000}"/>
    <cellStyle name="Total 2 6 6 4 4" xfId="10433" xr:uid="{00000000-0005-0000-0000-00003F720000}"/>
    <cellStyle name="Total 2 6 6 4 4 2" xfId="25265" xr:uid="{00000000-0005-0000-0000-000040720000}"/>
    <cellStyle name="Total 2 6 6 5" xfId="5929" xr:uid="{00000000-0005-0000-0000-000041720000}"/>
    <cellStyle name="Total 2 6 6 5 2" xfId="16121" xr:uid="{00000000-0005-0000-0000-000042720000}"/>
    <cellStyle name="Total 2 6 6 5 2 2" xfId="30953" xr:uid="{00000000-0005-0000-0000-000043720000}"/>
    <cellStyle name="Total 2 6 6 5 3" xfId="18436" xr:uid="{00000000-0005-0000-0000-000044720000}"/>
    <cellStyle name="Total 2 6 6 6" xfId="12191" xr:uid="{00000000-0005-0000-0000-000045720000}"/>
    <cellStyle name="Total 2 6 6 6 2" xfId="27023" xr:uid="{00000000-0005-0000-0000-000046720000}"/>
    <cellStyle name="Total 2 6 6 7" xfId="9787" xr:uid="{00000000-0005-0000-0000-000047720000}"/>
    <cellStyle name="Total 2 6 6 7 2" xfId="24744" xr:uid="{00000000-0005-0000-0000-000048720000}"/>
    <cellStyle name="Total 2 6 7" xfId="2169" xr:uid="{00000000-0005-0000-0000-000049720000}"/>
    <cellStyle name="Total 2 6 7 2" xfId="3122" xr:uid="{00000000-0005-0000-0000-00004A720000}"/>
    <cellStyle name="Total 2 6 7 2 2" xfId="7187" xr:uid="{00000000-0005-0000-0000-00004B720000}"/>
    <cellStyle name="Total 2 6 7 2 2 2" xfId="16980" xr:uid="{00000000-0005-0000-0000-00004C720000}"/>
    <cellStyle name="Total 2 6 7 2 2 2 2" xfId="31812" xr:uid="{00000000-0005-0000-0000-00004D720000}"/>
    <cellStyle name="Total 2 6 7 2 2 3" xfId="18937" xr:uid="{00000000-0005-0000-0000-00004E720000}"/>
    <cellStyle name="Total 2 6 7 2 3" xfId="13460" xr:uid="{00000000-0005-0000-0000-00004F720000}"/>
    <cellStyle name="Total 2 6 7 2 3 2" xfId="28292" xr:uid="{00000000-0005-0000-0000-000050720000}"/>
    <cellStyle name="Total 2 6 7 2 4" xfId="10638" xr:uid="{00000000-0005-0000-0000-000051720000}"/>
    <cellStyle name="Total 2 6 7 2 4 2" xfId="25470" xr:uid="{00000000-0005-0000-0000-000052720000}"/>
    <cellStyle name="Total 2 6 7 3" xfId="5137" xr:uid="{00000000-0005-0000-0000-000053720000}"/>
    <cellStyle name="Total 2 6 7 3 2" xfId="9176" xr:uid="{00000000-0005-0000-0000-000054720000}"/>
    <cellStyle name="Total 2 6 7 3 2 2" xfId="18099" xr:uid="{00000000-0005-0000-0000-000055720000}"/>
    <cellStyle name="Total 2 6 7 3 2 2 2" xfId="32931" xr:uid="{00000000-0005-0000-0000-000056720000}"/>
    <cellStyle name="Total 2 6 7 3 2 3" xfId="19650" xr:uid="{00000000-0005-0000-0000-000057720000}"/>
    <cellStyle name="Total 2 6 7 3 3" xfId="15455" xr:uid="{00000000-0005-0000-0000-000058720000}"/>
    <cellStyle name="Total 2 6 7 3 3 2" xfId="30287" xr:uid="{00000000-0005-0000-0000-000059720000}"/>
    <cellStyle name="Total 2 6 7 3 4" xfId="11696" xr:uid="{00000000-0005-0000-0000-00005A720000}"/>
    <cellStyle name="Total 2 6 7 3 4 2" xfId="26528" xr:uid="{00000000-0005-0000-0000-00005B720000}"/>
    <cellStyle name="Total 2 6 7 4" xfId="4167" xr:uid="{00000000-0005-0000-0000-00005C720000}"/>
    <cellStyle name="Total 2 6 7 4 2" xfId="8208" xr:uid="{00000000-0005-0000-0000-00005D720000}"/>
    <cellStyle name="Total 2 6 7 4 2 2" xfId="17555" xr:uid="{00000000-0005-0000-0000-00005E720000}"/>
    <cellStyle name="Total 2 6 7 4 2 2 2" xfId="32387" xr:uid="{00000000-0005-0000-0000-00005F720000}"/>
    <cellStyle name="Total 2 6 7 4 2 3" xfId="19293" xr:uid="{00000000-0005-0000-0000-000060720000}"/>
    <cellStyle name="Total 2 6 7 4 3" xfId="14499" xr:uid="{00000000-0005-0000-0000-000061720000}"/>
    <cellStyle name="Total 2 6 7 4 3 2" xfId="29331" xr:uid="{00000000-0005-0000-0000-000062720000}"/>
    <cellStyle name="Total 2 6 7 4 4" xfId="11175" xr:uid="{00000000-0005-0000-0000-000063720000}"/>
    <cellStyle name="Total 2 6 7 4 4 2" xfId="26007" xr:uid="{00000000-0005-0000-0000-000064720000}"/>
    <cellStyle name="Total 2 6 7 5" xfId="6283" xr:uid="{00000000-0005-0000-0000-000065720000}"/>
    <cellStyle name="Total 2 6 7 5 2" xfId="16467" xr:uid="{00000000-0005-0000-0000-000066720000}"/>
    <cellStyle name="Total 2 6 7 5 2 2" xfId="31299" xr:uid="{00000000-0005-0000-0000-000067720000}"/>
    <cellStyle name="Total 2 6 7 5 3" xfId="18586" xr:uid="{00000000-0005-0000-0000-000068720000}"/>
    <cellStyle name="Total 2 6 7 6" xfId="12537" xr:uid="{00000000-0005-0000-0000-000069720000}"/>
    <cellStyle name="Total 2 6 7 6 2" xfId="27369" xr:uid="{00000000-0005-0000-0000-00006A720000}"/>
    <cellStyle name="Total 2 6 7 7" xfId="10119" xr:uid="{00000000-0005-0000-0000-00006B720000}"/>
    <cellStyle name="Total 2 6 7 7 2" xfId="24951" xr:uid="{00000000-0005-0000-0000-00006C720000}"/>
    <cellStyle name="Total 2 6 8" xfId="3222" xr:uid="{00000000-0005-0000-0000-00006D720000}"/>
    <cellStyle name="Total 2 6 8 2" xfId="7286" xr:uid="{00000000-0005-0000-0000-00006E720000}"/>
    <cellStyle name="Total 2 6 8 2 2" xfId="17048" xr:uid="{00000000-0005-0000-0000-00006F720000}"/>
    <cellStyle name="Total 2 6 8 2 2 2" xfId="31880" xr:uid="{00000000-0005-0000-0000-000070720000}"/>
    <cellStyle name="Total 2 6 8 2 3" xfId="18967" xr:uid="{00000000-0005-0000-0000-000071720000}"/>
    <cellStyle name="Total 2 6 8 3" xfId="13560" xr:uid="{00000000-0005-0000-0000-000072720000}"/>
    <cellStyle name="Total 2 6 8 3 2" xfId="28392" xr:uid="{00000000-0005-0000-0000-000073720000}"/>
    <cellStyle name="Total 2 6 8 4" xfId="10688" xr:uid="{00000000-0005-0000-0000-000074720000}"/>
    <cellStyle name="Total 2 6 8 4 2" xfId="25520" xr:uid="{00000000-0005-0000-0000-000075720000}"/>
    <cellStyle name="Total 2 6 9" xfId="3140" xr:uid="{00000000-0005-0000-0000-000076720000}"/>
    <cellStyle name="Total 2 6 9 2" xfId="7204" xr:uid="{00000000-0005-0000-0000-000077720000}"/>
    <cellStyle name="Total 2 6 9 2 2" xfId="16989" xr:uid="{00000000-0005-0000-0000-000078720000}"/>
    <cellStyle name="Total 2 6 9 2 2 2" xfId="31821" xr:uid="{00000000-0005-0000-0000-000079720000}"/>
    <cellStyle name="Total 2 6 9 2 3" xfId="18940" xr:uid="{00000000-0005-0000-0000-00007A720000}"/>
    <cellStyle name="Total 2 6 9 3" xfId="13478" xr:uid="{00000000-0005-0000-0000-00007B720000}"/>
    <cellStyle name="Total 2 6 9 3 2" xfId="28310" xr:uid="{00000000-0005-0000-0000-00007C720000}"/>
    <cellStyle name="Total 2 6 9 4" xfId="10643" xr:uid="{00000000-0005-0000-0000-00007D720000}"/>
    <cellStyle name="Total 2 6 9 4 2" xfId="25475" xr:uid="{00000000-0005-0000-0000-00007E720000}"/>
    <cellStyle name="Total 2 7" xfId="1273" xr:uid="{00000000-0005-0000-0000-00007F720000}"/>
    <cellStyle name="Total 2 7 10" xfId="2340" xr:uid="{00000000-0005-0000-0000-000080720000}"/>
    <cellStyle name="Total 2 7 10 2" xfId="6452" xr:uid="{00000000-0005-0000-0000-000081720000}"/>
    <cellStyle name="Total 2 7 10 2 2" xfId="16544" xr:uid="{00000000-0005-0000-0000-000082720000}"/>
    <cellStyle name="Total 2 7 10 2 2 2" xfId="31376" xr:uid="{00000000-0005-0000-0000-000083720000}"/>
    <cellStyle name="Total 2 7 10 2 3" xfId="18632" xr:uid="{00000000-0005-0000-0000-000084720000}"/>
    <cellStyle name="Total 2 7 10 3" xfId="12680" xr:uid="{00000000-0005-0000-0000-000085720000}"/>
    <cellStyle name="Total 2 7 10 3 2" xfId="27512" xr:uid="{00000000-0005-0000-0000-000086720000}"/>
    <cellStyle name="Total 2 7 10 4" xfId="10195" xr:uid="{00000000-0005-0000-0000-000087720000}"/>
    <cellStyle name="Total 2 7 10 4 2" xfId="25027" xr:uid="{00000000-0005-0000-0000-000088720000}"/>
    <cellStyle name="Total 2 7 11" xfId="5302" xr:uid="{00000000-0005-0000-0000-000089720000}"/>
    <cellStyle name="Total 2 7 11 2" xfId="9310" xr:uid="{00000000-0005-0000-0000-00008A720000}"/>
    <cellStyle name="Total 2 7 11 2 2" xfId="18177" xr:uid="{00000000-0005-0000-0000-00008B720000}"/>
    <cellStyle name="Total 2 7 11 2 2 2" xfId="33009" xr:uid="{00000000-0005-0000-0000-00008C720000}"/>
    <cellStyle name="Total 2 7 11 2 3" xfId="19696" xr:uid="{00000000-0005-0000-0000-00008D720000}"/>
    <cellStyle name="Total 2 7 11 3" xfId="15618" xr:uid="{00000000-0005-0000-0000-00008E720000}"/>
    <cellStyle name="Total 2 7 11 3 2" xfId="30450" xr:uid="{00000000-0005-0000-0000-00008F720000}"/>
    <cellStyle name="Total 2 7 12" xfId="5460" xr:uid="{00000000-0005-0000-0000-000090720000}"/>
    <cellStyle name="Total 2 7 12 2" xfId="15696" xr:uid="{00000000-0005-0000-0000-000091720000}"/>
    <cellStyle name="Total 2 7 12 2 2" xfId="30528" xr:uid="{00000000-0005-0000-0000-000092720000}"/>
    <cellStyle name="Total 2 7 12 3" xfId="18273" xr:uid="{00000000-0005-0000-0000-000093720000}"/>
    <cellStyle name="Total 2 7 13" xfId="9331" xr:uid="{00000000-0005-0000-0000-000094720000}"/>
    <cellStyle name="Total 2 7 13 2" xfId="24637" xr:uid="{00000000-0005-0000-0000-000095720000}"/>
    <cellStyle name="Total 2 7 14" xfId="5320" xr:uid="{00000000-0005-0000-0000-000096720000}"/>
    <cellStyle name="Total 2 7 14 2" xfId="18194" xr:uid="{00000000-0005-0000-0000-000097720000}"/>
    <cellStyle name="Total 2 7 2" xfId="1372" xr:uid="{00000000-0005-0000-0000-000098720000}"/>
    <cellStyle name="Total 2 7 2 2" xfId="1876" xr:uid="{00000000-0005-0000-0000-000099720000}"/>
    <cellStyle name="Total 2 7 2 2 2" xfId="3435" xr:uid="{00000000-0005-0000-0000-00009A720000}"/>
    <cellStyle name="Total 2 7 2 2 2 2" xfId="7498" xr:uid="{00000000-0005-0000-0000-00009B720000}"/>
    <cellStyle name="Total 2 7 2 2 2 2 2" xfId="17188" xr:uid="{00000000-0005-0000-0000-00009C720000}"/>
    <cellStyle name="Total 2 7 2 2 2 2 2 2" xfId="32020" xr:uid="{00000000-0005-0000-0000-00009D720000}"/>
    <cellStyle name="Total 2 7 2 2 2 2 3" xfId="19034" xr:uid="{00000000-0005-0000-0000-00009E720000}"/>
    <cellStyle name="Total 2 7 2 2 2 3" xfId="13772" xr:uid="{00000000-0005-0000-0000-00009F720000}"/>
    <cellStyle name="Total 2 7 2 2 2 3 2" xfId="28604" xr:uid="{00000000-0005-0000-0000-0000A0720000}"/>
    <cellStyle name="Total 2 7 2 2 2 4" xfId="10807" xr:uid="{00000000-0005-0000-0000-0000A1720000}"/>
    <cellStyle name="Total 2 7 2 2 2 4 2" xfId="25639" xr:uid="{00000000-0005-0000-0000-0000A2720000}"/>
    <cellStyle name="Total 2 7 2 2 3" xfId="4854" xr:uid="{00000000-0005-0000-0000-0000A3720000}"/>
    <cellStyle name="Total 2 7 2 2 3 2" xfId="8893" xr:uid="{00000000-0005-0000-0000-0000A4720000}"/>
    <cellStyle name="Total 2 7 2 2 3 2 2" xfId="17934" xr:uid="{00000000-0005-0000-0000-0000A5720000}"/>
    <cellStyle name="Total 2 7 2 2 3 2 2 2" xfId="32766" xr:uid="{00000000-0005-0000-0000-0000A6720000}"/>
    <cellStyle name="Total 2 7 2 2 3 2 3" xfId="19536" xr:uid="{00000000-0005-0000-0000-0000A7720000}"/>
    <cellStyle name="Total 2 7 2 2 3 3" xfId="15178" xr:uid="{00000000-0005-0000-0000-0000A8720000}"/>
    <cellStyle name="Total 2 7 2 2 3 3 2" xfId="30010" xr:uid="{00000000-0005-0000-0000-0000A9720000}"/>
    <cellStyle name="Total 2 7 2 2 3 4" xfId="11537" xr:uid="{00000000-0005-0000-0000-0000AA720000}"/>
    <cellStyle name="Total 2 7 2 2 3 4 2" xfId="26369" xr:uid="{00000000-0005-0000-0000-0000AB720000}"/>
    <cellStyle name="Total 2 7 2 2 4" xfId="2844" xr:uid="{00000000-0005-0000-0000-0000AC720000}"/>
    <cellStyle name="Total 2 7 2 2 4 2" xfId="6935" xr:uid="{00000000-0005-0000-0000-0000AD720000}"/>
    <cellStyle name="Total 2 7 2 2 4 2 2" xfId="16828" xr:uid="{00000000-0005-0000-0000-0000AE720000}"/>
    <cellStyle name="Total 2 7 2 2 4 2 2 2" xfId="31660" xr:uid="{00000000-0005-0000-0000-0000AF720000}"/>
    <cellStyle name="Total 2 7 2 2 4 2 3" xfId="18827" xr:uid="{00000000-0005-0000-0000-0000B0720000}"/>
    <cellStyle name="Total 2 7 2 2 4 3" xfId="13182" xr:uid="{00000000-0005-0000-0000-0000B1720000}"/>
    <cellStyle name="Total 2 7 2 2 4 3 2" xfId="28014" xr:uid="{00000000-0005-0000-0000-0000B2720000}"/>
    <cellStyle name="Total 2 7 2 2 4 4" xfId="10481" xr:uid="{00000000-0005-0000-0000-0000B3720000}"/>
    <cellStyle name="Total 2 7 2 2 4 4 2" xfId="25313" xr:uid="{00000000-0005-0000-0000-0000B4720000}"/>
    <cellStyle name="Total 2 7 2 2 5" xfId="6008" xr:uid="{00000000-0005-0000-0000-0000B5720000}"/>
    <cellStyle name="Total 2 7 2 2 5 2" xfId="16200" xr:uid="{00000000-0005-0000-0000-0000B6720000}"/>
    <cellStyle name="Total 2 7 2 2 5 2 2" xfId="31032" xr:uid="{00000000-0005-0000-0000-0000B7720000}"/>
    <cellStyle name="Total 2 7 2 2 5 3" xfId="18469" xr:uid="{00000000-0005-0000-0000-0000B8720000}"/>
    <cellStyle name="Total 2 7 2 2 6" xfId="12270" xr:uid="{00000000-0005-0000-0000-0000B9720000}"/>
    <cellStyle name="Total 2 7 2 2 6 2" xfId="27102" xr:uid="{00000000-0005-0000-0000-0000BA720000}"/>
    <cellStyle name="Total 2 7 2 2 7" xfId="9866" xr:uid="{00000000-0005-0000-0000-0000BB720000}"/>
    <cellStyle name="Total 2 7 2 2 7 2" xfId="24792" xr:uid="{00000000-0005-0000-0000-0000BC720000}"/>
    <cellStyle name="Total 2 7 2 3" xfId="3897" xr:uid="{00000000-0005-0000-0000-0000BD720000}"/>
    <cellStyle name="Total 2 7 2 3 2" xfId="7948" xr:uid="{00000000-0005-0000-0000-0000BE720000}"/>
    <cellStyle name="Total 2 7 2 3 2 2" xfId="17418" xr:uid="{00000000-0005-0000-0000-0000BF720000}"/>
    <cellStyle name="Total 2 7 2 3 2 2 2" xfId="32250" xr:uid="{00000000-0005-0000-0000-0000C0720000}"/>
    <cellStyle name="Total 2 7 2 3 2 3" xfId="19191" xr:uid="{00000000-0005-0000-0000-0000C1720000}"/>
    <cellStyle name="Total 2 7 2 3 3" xfId="14230" xr:uid="{00000000-0005-0000-0000-0000C2720000}"/>
    <cellStyle name="Total 2 7 2 3 3 2" xfId="29062" xr:uid="{00000000-0005-0000-0000-0000C3720000}"/>
    <cellStyle name="Total 2 7 2 3 4" xfId="11034" xr:uid="{00000000-0005-0000-0000-0000C4720000}"/>
    <cellStyle name="Total 2 7 2 3 4 2" xfId="25866" xr:uid="{00000000-0005-0000-0000-0000C5720000}"/>
    <cellStyle name="Total 2 7 2 4" xfId="4434" xr:uid="{00000000-0005-0000-0000-0000C6720000}"/>
    <cellStyle name="Total 2 7 2 4 2" xfId="8473" xr:uid="{00000000-0005-0000-0000-0000C7720000}"/>
    <cellStyle name="Total 2 7 2 4 2 2" xfId="17694" xr:uid="{00000000-0005-0000-0000-0000C8720000}"/>
    <cellStyle name="Total 2 7 2 4 2 2 2" xfId="32526" xr:uid="{00000000-0005-0000-0000-0000C9720000}"/>
    <cellStyle name="Total 2 7 2 4 2 3" xfId="19376" xr:uid="{00000000-0005-0000-0000-0000CA720000}"/>
    <cellStyle name="Total 2 7 2 4 3" xfId="14763" xr:uid="{00000000-0005-0000-0000-0000CB720000}"/>
    <cellStyle name="Total 2 7 2 4 3 2" xfId="29595" xr:uid="{00000000-0005-0000-0000-0000CC720000}"/>
    <cellStyle name="Total 2 7 2 4 4" xfId="11302" xr:uid="{00000000-0005-0000-0000-0000CD720000}"/>
    <cellStyle name="Total 2 7 2 4 4 2" xfId="26134" xr:uid="{00000000-0005-0000-0000-0000CE720000}"/>
    <cellStyle name="Total 2 7 2 5" xfId="2424" xr:uid="{00000000-0005-0000-0000-0000CF720000}"/>
    <cellStyle name="Total 2 7 2 5 2" xfId="6536" xr:uid="{00000000-0005-0000-0000-0000D0720000}"/>
    <cellStyle name="Total 2 7 2 5 2 2" xfId="16592" xr:uid="{00000000-0005-0000-0000-0000D1720000}"/>
    <cellStyle name="Total 2 7 2 5 2 2 2" xfId="31424" xr:uid="{00000000-0005-0000-0000-0000D2720000}"/>
    <cellStyle name="Total 2 7 2 5 2 3" xfId="18664" xr:uid="{00000000-0005-0000-0000-0000D3720000}"/>
    <cellStyle name="Total 2 7 2 5 3" xfId="12763" xr:uid="{00000000-0005-0000-0000-0000D4720000}"/>
    <cellStyle name="Total 2 7 2 5 3 2" xfId="27595" xr:uid="{00000000-0005-0000-0000-0000D5720000}"/>
    <cellStyle name="Total 2 7 2 5 4" xfId="10242" xr:uid="{00000000-0005-0000-0000-0000D6720000}"/>
    <cellStyle name="Total 2 7 2 5 4 2" xfId="25074" xr:uid="{00000000-0005-0000-0000-0000D7720000}"/>
    <cellStyle name="Total 2 7 2 6" xfId="5549" xr:uid="{00000000-0005-0000-0000-0000D8720000}"/>
    <cellStyle name="Total 2 7 2 6 2" xfId="15784" xr:uid="{00000000-0005-0000-0000-0000D9720000}"/>
    <cellStyle name="Total 2 7 2 6 2 2" xfId="30616" xr:uid="{00000000-0005-0000-0000-0000DA720000}"/>
    <cellStyle name="Total 2 7 2 6 3" xfId="18306" xr:uid="{00000000-0005-0000-0000-0000DB720000}"/>
    <cellStyle name="Total 2 7 2 7" xfId="11799" xr:uid="{00000000-0005-0000-0000-0000DC720000}"/>
    <cellStyle name="Total 2 7 2 7 2" xfId="26631" xr:uid="{00000000-0005-0000-0000-0000DD720000}"/>
    <cellStyle name="Total 2 7 2 8" xfId="9470" xr:uid="{00000000-0005-0000-0000-0000DE720000}"/>
    <cellStyle name="Total 2 7 2 8 2" xfId="19774" xr:uid="{00000000-0005-0000-0000-0000DF720000}"/>
    <cellStyle name="Total 2 7 3" xfId="1544" xr:uid="{00000000-0005-0000-0000-0000E0720000}"/>
    <cellStyle name="Total 2 7 3 2" xfId="2041" xr:uid="{00000000-0005-0000-0000-0000E1720000}"/>
    <cellStyle name="Total 2 7 3 2 2" xfId="3768" xr:uid="{00000000-0005-0000-0000-0000E2720000}"/>
    <cellStyle name="Total 2 7 3 2 2 2" xfId="7824" xr:uid="{00000000-0005-0000-0000-0000E3720000}"/>
    <cellStyle name="Total 2 7 3 2 2 2 2" xfId="17358" xr:uid="{00000000-0005-0000-0000-0000E4720000}"/>
    <cellStyle name="Total 2 7 3 2 2 2 2 2" xfId="32190" xr:uid="{00000000-0005-0000-0000-0000E5720000}"/>
    <cellStyle name="Total 2 7 3 2 2 2 3" xfId="19152" xr:uid="{00000000-0005-0000-0000-0000E6720000}"/>
    <cellStyle name="Total 2 7 3 2 2 3" xfId="14103" xr:uid="{00000000-0005-0000-0000-0000E7720000}"/>
    <cellStyle name="Total 2 7 3 2 2 3 2" xfId="28935" xr:uid="{00000000-0005-0000-0000-0000E8720000}"/>
    <cellStyle name="Total 2 7 3 2 2 4" xfId="10974" xr:uid="{00000000-0005-0000-0000-0000E9720000}"/>
    <cellStyle name="Total 2 7 3 2 2 4 2" xfId="25806" xr:uid="{00000000-0005-0000-0000-0000EA720000}"/>
    <cellStyle name="Total 2 7 3 2 3" xfId="5009" xr:uid="{00000000-0005-0000-0000-0000EB720000}"/>
    <cellStyle name="Total 2 7 3 2 3 2" xfId="9048" xr:uid="{00000000-0005-0000-0000-0000EC720000}"/>
    <cellStyle name="Total 2 7 3 2 3 2 2" xfId="17986" xr:uid="{00000000-0005-0000-0000-0000ED720000}"/>
    <cellStyle name="Total 2 7 3 2 3 2 2 2" xfId="32818" xr:uid="{00000000-0005-0000-0000-0000EE720000}"/>
    <cellStyle name="Total 2 7 3 2 3 2 3" xfId="19568" xr:uid="{00000000-0005-0000-0000-0000EF720000}"/>
    <cellStyle name="Total 2 7 3 2 3 3" xfId="15331" xr:uid="{00000000-0005-0000-0000-0000F0720000}"/>
    <cellStyle name="Total 2 7 3 2 3 3 2" xfId="30163" xr:uid="{00000000-0005-0000-0000-0000F1720000}"/>
    <cellStyle name="Total 2 7 3 2 3 4" xfId="11587" xr:uid="{00000000-0005-0000-0000-0000F2720000}"/>
    <cellStyle name="Total 2 7 3 2 3 4 2" xfId="26419" xr:uid="{00000000-0005-0000-0000-0000F3720000}"/>
    <cellStyle name="Total 2 7 3 2 4" xfId="2999" xr:uid="{00000000-0005-0000-0000-0000F4720000}"/>
    <cellStyle name="Total 2 7 3 2 4 2" xfId="7079" xr:uid="{00000000-0005-0000-0000-0000F5720000}"/>
    <cellStyle name="Total 2 7 3 2 4 2 2" xfId="16878" xr:uid="{00000000-0005-0000-0000-0000F6720000}"/>
    <cellStyle name="Total 2 7 3 2 4 2 2 2" xfId="31710" xr:uid="{00000000-0005-0000-0000-0000F7720000}"/>
    <cellStyle name="Total 2 7 3 2 4 2 3" xfId="18860" xr:uid="{00000000-0005-0000-0000-0000F8720000}"/>
    <cellStyle name="Total 2 7 3 2 4 3" xfId="13337" xr:uid="{00000000-0005-0000-0000-0000F9720000}"/>
    <cellStyle name="Total 2 7 3 2 4 3 2" xfId="28169" xr:uid="{00000000-0005-0000-0000-0000FA720000}"/>
    <cellStyle name="Total 2 7 3 2 4 4" xfId="10533" xr:uid="{00000000-0005-0000-0000-0000FB720000}"/>
    <cellStyle name="Total 2 7 3 2 4 4 2" xfId="25365" xr:uid="{00000000-0005-0000-0000-0000FC720000}"/>
    <cellStyle name="Total 2 7 3 2 5" xfId="6171" xr:uid="{00000000-0005-0000-0000-0000FD720000}"/>
    <cellStyle name="Total 2 7 3 2 5 2" xfId="16358" xr:uid="{00000000-0005-0000-0000-0000FE720000}"/>
    <cellStyle name="Total 2 7 3 2 5 2 2" xfId="31190" xr:uid="{00000000-0005-0000-0000-0000FF720000}"/>
    <cellStyle name="Total 2 7 3 2 5 3" xfId="18501" xr:uid="{00000000-0005-0000-0000-000000730000}"/>
    <cellStyle name="Total 2 7 3 2 6" xfId="12428" xr:uid="{00000000-0005-0000-0000-000001730000}"/>
    <cellStyle name="Total 2 7 3 2 6 2" xfId="27260" xr:uid="{00000000-0005-0000-0000-000002730000}"/>
    <cellStyle name="Total 2 7 3 2 7" xfId="10010" xr:uid="{00000000-0005-0000-0000-000003730000}"/>
    <cellStyle name="Total 2 7 3 2 7 2" xfId="24842" xr:uid="{00000000-0005-0000-0000-000004730000}"/>
    <cellStyle name="Total 2 7 3 3" xfId="3283" xr:uid="{00000000-0005-0000-0000-000005730000}"/>
    <cellStyle name="Total 2 7 3 3 2" xfId="7347" xr:uid="{00000000-0005-0000-0000-000006730000}"/>
    <cellStyle name="Total 2 7 3 3 2 2" xfId="17090" xr:uid="{00000000-0005-0000-0000-000007730000}"/>
    <cellStyle name="Total 2 7 3 3 2 2 2" xfId="31922" xr:uid="{00000000-0005-0000-0000-000008730000}"/>
    <cellStyle name="Total 2 7 3 3 2 3" xfId="18983" xr:uid="{00000000-0005-0000-0000-000009730000}"/>
    <cellStyle name="Total 2 7 3 3 3" xfId="13620" xr:uid="{00000000-0005-0000-0000-00000A730000}"/>
    <cellStyle name="Total 2 7 3 3 3 2" xfId="28452" xr:uid="{00000000-0005-0000-0000-00000B730000}"/>
    <cellStyle name="Total 2 7 3 3 4" xfId="10717" xr:uid="{00000000-0005-0000-0000-00000C730000}"/>
    <cellStyle name="Total 2 7 3 3 4 2" xfId="25549" xr:uid="{00000000-0005-0000-0000-00000D730000}"/>
    <cellStyle name="Total 2 7 3 4" xfId="4589" xr:uid="{00000000-0005-0000-0000-00000E730000}"/>
    <cellStyle name="Total 2 7 3 4 2" xfId="8628" xr:uid="{00000000-0005-0000-0000-00000F730000}"/>
    <cellStyle name="Total 2 7 3 4 2 2" xfId="17746" xr:uid="{00000000-0005-0000-0000-000010730000}"/>
    <cellStyle name="Total 2 7 3 4 2 2 2" xfId="32578" xr:uid="{00000000-0005-0000-0000-000011730000}"/>
    <cellStyle name="Total 2 7 3 4 2 3" xfId="19408" xr:uid="{00000000-0005-0000-0000-000012730000}"/>
    <cellStyle name="Total 2 7 3 4 3" xfId="14916" xr:uid="{00000000-0005-0000-0000-000013730000}"/>
    <cellStyle name="Total 2 7 3 4 3 2" xfId="29748" xr:uid="{00000000-0005-0000-0000-000014730000}"/>
    <cellStyle name="Total 2 7 3 4 4" xfId="11352" xr:uid="{00000000-0005-0000-0000-000015730000}"/>
    <cellStyle name="Total 2 7 3 4 4 2" xfId="26184" xr:uid="{00000000-0005-0000-0000-000016730000}"/>
    <cellStyle name="Total 2 7 3 5" xfId="2579" xr:uid="{00000000-0005-0000-0000-000017730000}"/>
    <cellStyle name="Total 2 7 3 5 2" xfId="6685" xr:uid="{00000000-0005-0000-0000-000018730000}"/>
    <cellStyle name="Total 2 7 3 5 2 2" xfId="16643" xr:uid="{00000000-0005-0000-0000-000019730000}"/>
    <cellStyle name="Total 2 7 3 5 2 2 2" xfId="31475" xr:uid="{00000000-0005-0000-0000-00001A730000}"/>
    <cellStyle name="Total 2 7 3 5 2 3" xfId="18696" xr:uid="{00000000-0005-0000-0000-00001B730000}"/>
    <cellStyle name="Total 2 7 3 5 3" xfId="12917" xr:uid="{00000000-0005-0000-0000-00001C730000}"/>
    <cellStyle name="Total 2 7 3 5 3 2" xfId="27749" xr:uid="{00000000-0005-0000-0000-00001D730000}"/>
    <cellStyle name="Total 2 7 3 5 4" xfId="10293" xr:uid="{00000000-0005-0000-0000-00001E730000}"/>
    <cellStyle name="Total 2 7 3 5 4 2" xfId="25125" xr:uid="{00000000-0005-0000-0000-00001F730000}"/>
    <cellStyle name="Total 2 7 3 6" xfId="5702" xr:uid="{00000000-0005-0000-0000-000020730000}"/>
    <cellStyle name="Total 2 7 3 6 2" xfId="15937" xr:uid="{00000000-0005-0000-0000-000021730000}"/>
    <cellStyle name="Total 2 7 3 6 2 2" xfId="30769" xr:uid="{00000000-0005-0000-0000-000022730000}"/>
    <cellStyle name="Total 2 7 3 6 3" xfId="18338" xr:uid="{00000000-0005-0000-0000-000023730000}"/>
    <cellStyle name="Total 2 7 3 7" xfId="11957" xr:uid="{00000000-0005-0000-0000-000024730000}"/>
    <cellStyle name="Total 2 7 3 7 2" xfId="26789" xr:uid="{00000000-0005-0000-0000-000025730000}"/>
    <cellStyle name="Total 2 7 3 8" xfId="9615" xr:uid="{00000000-0005-0000-0000-000026730000}"/>
    <cellStyle name="Total 2 7 3 8 2" xfId="19917" xr:uid="{00000000-0005-0000-0000-000027730000}"/>
    <cellStyle name="Total 2 7 4" xfId="1597" xr:uid="{00000000-0005-0000-0000-000028730000}"/>
    <cellStyle name="Total 2 7 4 2" xfId="2094" xr:uid="{00000000-0005-0000-0000-000029730000}"/>
    <cellStyle name="Total 2 7 4 2 2" xfId="4057" xr:uid="{00000000-0005-0000-0000-00002A730000}"/>
    <cellStyle name="Total 2 7 4 2 2 2" xfId="8104" xr:uid="{00000000-0005-0000-0000-00002B730000}"/>
    <cellStyle name="Total 2 7 4 2 2 2 2" xfId="17496" xr:uid="{00000000-0005-0000-0000-00002C730000}"/>
    <cellStyle name="Total 2 7 4 2 2 2 2 2" xfId="32328" xr:uid="{00000000-0005-0000-0000-00002D730000}"/>
    <cellStyle name="Total 2 7 4 2 2 2 3" xfId="19249" xr:uid="{00000000-0005-0000-0000-00002E730000}"/>
    <cellStyle name="Total 2 7 4 2 2 3" xfId="14389" xr:uid="{00000000-0005-0000-0000-00002F730000}"/>
    <cellStyle name="Total 2 7 4 2 2 3 2" xfId="29221" xr:uid="{00000000-0005-0000-0000-000030730000}"/>
    <cellStyle name="Total 2 7 4 2 2 4" xfId="11112" xr:uid="{00000000-0005-0000-0000-000031730000}"/>
    <cellStyle name="Total 2 7 4 2 2 4 2" xfId="25944" xr:uid="{00000000-0005-0000-0000-000032730000}"/>
    <cellStyle name="Total 2 7 4 2 3" xfId="5062" xr:uid="{00000000-0005-0000-0000-000033730000}"/>
    <cellStyle name="Total 2 7 4 2 3 2" xfId="9101" xr:uid="{00000000-0005-0000-0000-000034730000}"/>
    <cellStyle name="Total 2 7 4 2 3 2 2" xfId="18034" xr:uid="{00000000-0005-0000-0000-000035730000}"/>
    <cellStyle name="Total 2 7 4 2 3 2 2 2" xfId="32866" xr:uid="{00000000-0005-0000-0000-000036730000}"/>
    <cellStyle name="Total 2 7 4 2 3 2 3" xfId="19600" xr:uid="{00000000-0005-0000-0000-000037730000}"/>
    <cellStyle name="Total 2 7 4 2 3 3" xfId="15383" xr:uid="{00000000-0005-0000-0000-000038730000}"/>
    <cellStyle name="Total 2 7 4 2 3 3 2" xfId="30215" xr:uid="{00000000-0005-0000-0000-000039730000}"/>
    <cellStyle name="Total 2 7 4 2 3 4" xfId="11634" xr:uid="{00000000-0005-0000-0000-00003A730000}"/>
    <cellStyle name="Total 2 7 4 2 3 4 2" xfId="26466" xr:uid="{00000000-0005-0000-0000-00003B730000}"/>
    <cellStyle name="Total 2 7 4 2 4" xfId="3052" xr:uid="{00000000-0005-0000-0000-00003C730000}"/>
    <cellStyle name="Total 2 7 4 2 4 2" xfId="7127" xr:uid="{00000000-0005-0000-0000-00003D730000}"/>
    <cellStyle name="Total 2 7 4 2 4 2 2" xfId="16925" xr:uid="{00000000-0005-0000-0000-00003E730000}"/>
    <cellStyle name="Total 2 7 4 2 4 2 2 2" xfId="31757" xr:uid="{00000000-0005-0000-0000-00003F730000}"/>
    <cellStyle name="Total 2 7 4 2 4 2 3" xfId="18893" xr:uid="{00000000-0005-0000-0000-000040730000}"/>
    <cellStyle name="Total 2 7 4 2 4 3" xfId="13390" xr:uid="{00000000-0005-0000-0000-000041730000}"/>
    <cellStyle name="Total 2 7 4 2 4 3 2" xfId="28222" xr:uid="{00000000-0005-0000-0000-000042730000}"/>
    <cellStyle name="Total 2 7 4 2 4 4" xfId="10581" xr:uid="{00000000-0005-0000-0000-000043730000}"/>
    <cellStyle name="Total 2 7 4 2 4 4 2" xfId="25413" xr:uid="{00000000-0005-0000-0000-000044730000}"/>
    <cellStyle name="Total 2 7 4 2 5" xfId="6219" xr:uid="{00000000-0005-0000-0000-000045730000}"/>
    <cellStyle name="Total 2 7 4 2 5 2" xfId="16405" xr:uid="{00000000-0005-0000-0000-000046730000}"/>
    <cellStyle name="Total 2 7 4 2 5 2 2" xfId="31237" xr:uid="{00000000-0005-0000-0000-000047730000}"/>
    <cellStyle name="Total 2 7 4 2 5 3" xfId="18534" xr:uid="{00000000-0005-0000-0000-000048730000}"/>
    <cellStyle name="Total 2 7 4 2 6" xfId="12475" xr:uid="{00000000-0005-0000-0000-000049730000}"/>
    <cellStyle name="Total 2 7 4 2 6 2" xfId="27307" xr:uid="{00000000-0005-0000-0000-00004A730000}"/>
    <cellStyle name="Total 2 7 4 2 7" xfId="10057" xr:uid="{00000000-0005-0000-0000-00004B730000}"/>
    <cellStyle name="Total 2 7 4 2 7 2" xfId="24889" xr:uid="{00000000-0005-0000-0000-00004C730000}"/>
    <cellStyle name="Total 2 7 4 3" xfId="3302" xr:uid="{00000000-0005-0000-0000-00004D730000}"/>
    <cellStyle name="Total 2 7 4 3 2" xfId="7366" xr:uid="{00000000-0005-0000-0000-00004E730000}"/>
    <cellStyle name="Total 2 7 4 3 2 2" xfId="17105" xr:uid="{00000000-0005-0000-0000-00004F730000}"/>
    <cellStyle name="Total 2 7 4 3 2 2 2" xfId="31937" xr:uid="{00000000-0005-0000-0000-000050730000}"/>
    <cellStyle name="Total 2 7 4 3 2 3" xfId="18989" xr:uid="{00000000-0005-0000-0000-000051730000}"/>
    <cellStyle name="Total 2 7 4 3 3" xfId="13639" xr:uid="{00000000-0005-0000-0000-000052730000}"/>
    <cellStyle name="Total 2 7 4 3 3 2" xfId="28471" xr:uid="{00000000-0005-0000-0000-000053730000}"/>
    <cellStyle name="Total 2 7 4 3 4" xfId="10729" xr:uid="{00000000-0005-0000-0000-000054730000}"/>
    <cellStyle name="Total 2 7 4 3 4 2" xfId="25561" xr:uid="{00000000-0005-0000-0000-000055730000}"/>
    <cellStyle name="Total 2 7 4 4" xfId="4642" xr:uid="{00000000-0005-0000-0000-000056730000}"/>
    <cellStyle name="Total 2 7 4 4 2" xfId="8681" xr:uid="{00000000-0005-0000-0000-000057730000}"/>
    <cellStyle name="Total 2 7 4 4 2 2" xfId="17794" xr:uid="{00000000-0005-0000-0000-000058730000}"/>
    <cellStyle name="Total 2 7 4 4 2 2 2" xfId="32626" xr:uid="{00000000-0005-0000-0000-000059730000}"/>
    <cellStyle name="Total 2 7 4 4 2 3" xfId="19440" xr:uid="{00000000-0005-0000-0000-00005A730000}"/>
    <cellStyle name="Total 2 7 4 4 3" xfId="14968" xr:uid="{00000000-0005-0000-0000-00005B730000}"/>
    <cellStyle name="Total 2 7 4 4 3 2" xfId="29800" xr:uid="{00000000-0005-0000-0000-00005C730000}"/>
    <cellStyle name="Total 2 7 4 4 4" xfId="11399" xr:uid="{00000000-0005-0000-0000-00005D730000}"/>
    <cellStyle name="Total 2 7 4 4 4 2" xfId="26231" xr:uid="{00000000-0005-0000-0000-00005E730000}"/>
    <cellStyle name="Total 2 7 4 5" xfId="2632" xr:uid="{00000000-0005-0000-0000-00005F730000}"/>
    <cellStyle name="Total 2 7 4 5 2" xfId="6733" xr:uid="{00000000-0005-0000-0000-000060730000}"/>
    <cellStyle name="Total 2 7 4 5 2 2" xfId="16690" xr:uid="{00000000-0005-0000-0000-000061730000}"/>
    <cellStyle name="Total 2 7 4 5 2 2 2" xfId="31522" xr:uid="{00000000-0005-0000-0000-000062730000}"/>
    <cellStyle name="Total 2 7 4 5 2 3" xfId="18729" xr:uid="{00000000-0005-0000-0000-000063730000}"/>
    <cellStyle name="Total 2 7 4 5 3" xfId="12970" xr:uid="{00000000-0005-0000-0000-000064730000}"/>
    <cellStyle name="Total 2 7 4 5 3 2" xfId="27802" xr:uid="{00000000-0005-0000-0000-000065730000}"/>
    <cellStyle name="Total 2 7 4 5 4" xfId="10341" xr:uid="{00000000-0005-0000-0000-000066730000}"/>
    <cellStyle name="Total 2 7 4 5 4 2" xfId="25173" xr:uid="{00000000-0005-0000-0000-000067730000}"/>
    <cellStyle name="Total 2 7 4 6" xfId="5749" xr:uid="{00000000-0005-0000-0000-000068730000}"/>
    <cellStyle name="Total 2 7 4 6 2" xfId="15984" xr:uid="{00000000-0005-0000-0000-000069730000}"/>
    <cellStyle name="Total 2 7 4 6 2 2" xfId="30816" xr:uid="{00000000-0005-0000-0000-00006A730000}"/>
    <cellStyle name="Total 2 7 4 6 3" xfId="18370" xr:uid="{00000000-0005-0000-0000-00006B730000}"/>
    <cellStyle name="Total 2 7 4 7" xfId="12004" xr:uid="{00000000-0005-0000-0000-00006C730000}"/>
    <cellStyle name="Total 2 7 4 7 2" xfId="26836" xr:uid="{00000000-0005-0000-0000-00006D730000}"/>
    <cellStyle name="Total 2 7 4 8" xfId="9663" xr:uid="{00000000-0005-0000-0000-00006E730000}"/>
    <cellStyle name="Total 2 7 4 8 2" xfId="19964" xr:uid="{00000000-0005-0000-0000-00006F730000}"/>
    <cellStyle name="Total 2 7 5" xfId="1647" xr:uid="{00000000-0005-0000-0000-000070730000}"/>
    <cellStyle name="Total 2 7 5 2" xfId="2144" xr:uid="{00000000-0005-0000-0000-000071730000}"/>
    <cellStyle name="Total 2 7 5 2 2" xfId="4146" xr:uid="{00000000-0005-0000-0000-000072730000}"/>
    <cellStyle name="Total 2 7 5 2 2 2" xfId="8190" xr:uid="{00000000-0005-0000-0000-000073730000}"/>
    <cellStyle name="Total 2 7 5 2 2 2 2" xfId="17543" xr:uid="{00000000-0005-0000-0000-000074730000}"/>
    <cellStyle name="Total 2 7 5 2 2 2 2 2" xfId="32375" xr:uid="{00000000-0005-0000-0000-000075730000}"/>
    <cellStyle name="Total 2 7 5 2 2 2 3" xfId="19282" xr:uid="{00000000-0005-0000-0000-000076730000}"/>
    <cellStyle name="Total 2 7 5 2 2 3" xfId="14478" xr:uid="{00000000-0005-0000-0000-000077730000}"/>
    <cellStyle name="Total 2 7 5 2 2 3 2" xfId="29310" xr:uid="{00000000-0005-0000-0000-000078730000}"/>
    <cellStyle name="Total 2 7 5 2 2 4" xfId="11161" xr:uid="{00000000-0005-0000-0000-000079730000}"/>
    <cellStyle name="Total 2 7 5 2 2 4 2" xfId="25993" xr:uid="{00000000-0005-0000-0000-00007A730000}"/>
    <cellStyle name="Total 2 7 5 2 3" xfId="5112" xr:uid="{00000000-0005-0000-0000-00007B730000}"/>
    <cellStyle name="Total 2 7 5 2 3 2" xfId="9151" xr:uid="{00000000-0005-0000-0000-00007C730000}"/>
    <cellStyle name="Total 2 7 5 2 3 2 2" xfId="18079" xr:uid="{00000000-0005-0000-0000-00007D730000}"/>
    <cellStyle name="Total 2 7 5 2 3 2 2 2" xfId="32911" xr:uid="{00000000-0005-0000-0000-00007E730000}"/>
    <cellStyle name="Total 2 7 5 2 3 2 3" xfId="19632" xr:uid="{00000000-0005-0000-0000-00007F730000}"/>
    <cellStyle name="Total 2 7 5 2 3 3" xfId="15432" xr:uid="{00000000-0005-0000-0000-000080730000}"/>
    <cellStyle name="Total 2 7 5 2 3 3 2" xfId="30264" xr:uid="{00000000-0005-0000-0000-000081730000}"/>
    <cellStyle name="Total 2 7 5 2 3 4" xfId="11678" xr:uid="{00000000-0005-0000-0000-000082730000}"/>
    <cellStyle name="Total 2 7 5 2 3 4 2" xfId="26510" xr:uid="{00000000-0005-0000-0000-000083730000}"/>
    <cellStyle name="Total 2 7 5 2 4" xfId="3102" xr:uid="{00000000-0005-0000-0000-000084730000}"/>
    <cellStyle name="Total 2 7 5 2 4 2" xfId="7172" xr:uid="{00000000-0005-0000-0000-000085730000}"/>
    <cellStyle name="Total 2 7 5 2 4 2 2" xfId="16969" xr:uid="{00000000-0005-0000-0000-000086730000}"/>
    <cellStyle name="Total 2 7 5 2 4 2 2 2" xfId="31801" xr:uid="{00000000-0005-0000-0000-000087730000}"/>
    <cellStyle name="Total 2 7 5 2 4 2 3" xfId="18926" xr:uid="{00000000-0005-0000-0000-000088730000}"/>
    <cellStyle name="Total 2 7 5 2 4 3" xfId="13440" xr:uid="{00000000-0005-0000-0000-000089730000}"/>
    <cellStyle name="Total 2 7 5 2 4 3 2" xfId="28272" xr:uid="{00000000-0005-0000-0000-00008A730000}"/>
    <cellStyle name="Total 2 7 5 2 4 4" xfId="10626" xr:uid="{00000000-0005-0000-0000-00008B730000}"/>
    <cellStyle name="Total 2 7 5 2 4 4 2" xfId="25458" xr:uid="{00000000-0005-0000-0000-00008C730000}"/>
    <cellStyle name="Total 2 7 5 2 5" xfId="6264" xr:uid="{00000000-0005-0000-0000-00008D730000}"/>
    <cellStyle name="Total 2 7 5 2 5 2" xfId="16449" xr:uid="{00000000-0005-0000-0000-00008E730000}"/>
    <cellStyle name="Total 2 7 5 2 5 2 2" xfId="31281" xr:uid="{00000000-0005-0000-0000-00008F730000}"/>
    <cellStyle name="Total 2 7 5 2 5 3" xfId="18567" xr:uid="{00000000-0005-0000-0000-000090730000}"/>
    <cellStyle name="Total 2 7 5 2 6" xfId="12519" xr:uid="{00000000-0005-0000-0000-000091730000}"/>
    <cellStyle name="Total 2 7 5 2 6 2" xfId="27351" xr:uid="{00000000-0005-0000-0000-000092730000}"/>
    <cellStyle name="Total 2 7 5 2 7" xfId="10101" xr:uid="{00000000-0005-0000-0000-000093730000}"/>
    <cellStyle name="Total 2 7 5 2 7 2" xfId="24933" xr:uid="{00000000-0005-0000-0000-000094730000}"/>
    <cellStyle name="Total 2 7 5 3" xfId="3988" xr:uid="{00000000-0005-0000-0000-000095730000}"/>
    <cellStyle name="Total 2 7 5 3 2" xfId="8036" xr:uid="{00000000-0005-0000-0000-000096730000}"/>
    <cellStyle name="Total 2 7 5 3 2 2" xfId="17460" xr:uid="{00000000-0005-0000-0000-000097730000}"/>
    <cellStyle name="Total 2 7 5 3 2 2 2" xfId="32292" xr:uid="{00000000-0005-0000-0000-000098730000}"/>
    <cellStyle name="Total 2 7 5 3 2 3" xfId="19223" xr:uid="{00000000-0005-0000-0000-000099730000}"/>
    <cellStyle name="Total 2 7 5 3 3" xfId="14321" xr:uid="{00000000-0005-0000-0000-00009A730000}"/>
    <cellStyle name="Total 2 7 5 3 3 2" xfId="29153" xr:uid="{00000000-0005-0000-0000-00009B730000}"/>
    <cellStyle name="Total 2 7 5 3 4" xfId="11077" xr:uid="{00000000-0005-0000-0000-00009C730000}"/>
    <cellStyle name="Total 2 7 5 3 4 2" xfId="25909" xr:uid="{00000000-0005-0000-0000-00009D730000}"/>
    <cellStyle name="Total 2 7 5 4" xfId="4692" xr:uid="{00000000-0005-0000-0000-00009E730000}"/>
    <cellStyle name="Total 2 7 5 4 2" xfId="8731" xr:uid="{00000000-0005-0000-0000-00009F730000}"/>
    <cellStyle name="Total 2 7 5 4 2 2" xfId="17839" xr:uid="{00000000-0005-0000-0000-0000A0730000}"/>
    <cellStyle name="Total 2 7 5 4 2 2 2" xfId="32671" xr:uid="{00000000-0005-0000-0000-0000A1730000}"/>
    <cellStyle name="Total 2 7 5 4 2 3" xfId="19472" xr:uid="{00000000-0005-0000-0000-0000A2730000}"/>
    <cellStyle name="Total 2 7 5 4 3" xfId="15017" xr:uid="{00000000-0005-0000-0000-0000A3730000}"/>
    <cellStyle name="Total 2 7 5 4 3 2" xfId="29849" xr:uid="{00000000-0005-0000-0000-0000A4730000}"/>
    <cellStyle name="Total 2 7 5 4 4" xfId="11443" xr:uid="{00000000-0005-0000-0000-0000A5730000}"/>
    <cellStyle name="Total 2 7 5 4 4 2" xfId="26275" xr:uid="{00000000-0005-0000-0000-0000A6730000}"/>
    <cellStyle name="Total 2 7 5 5" xfId="2682" xr:uid="{00000000-0005-0000-0000-0000A7730000}"/>
    <cellStyle name="Total 2 7 5 5 2" xfId="6778" xr:uid="{00000000-0005-0000-0000-0000A8730000}"/>
    <cellStyle name="Total 2 7 5 5 2 2" xfId="16734" xr:uid="{00000000-0005-0000-0000-0000A9730000}"/>
    <cellStyle name="Total 2 7 5 5 2 2 2" xfId="31566" xr:uid="{00000000-0005-0000-0000-0000AA730000}"/>
    <cellStyle name="Total 2 7 5 5 2 3" xfId="18762" xr:uid="{00000000-0005-0000-0000-0000AB730000}"/>
    <cellStyle name="Total 2 7 5 5 3" xfId="13020" xr:uid="{00000000-0005-0000-0000-0000AC730000}"/>
    <cellStyle name="Total 2 7 5 5 3 2" xfId="27852" xr:uid="{00000000-0005-0000-0000-0000AD730000}"/>
    <cellStyle name="Total 2 7 5 5 4" xfId="10386" xr:uid="{00000000-0005-0000-0000-0000AE730000}"/>
    <cellStyle name="Total 2 7 5 5 4 2" xfId="25218" xr:uid="{00000000-0005-0000-0000-0000AF730000}"/>
    <cellStyle name="Total 2 7 5 6" xfId="5794" xr:uid="{00000000-0005-0000-0000-0000B0730000}"/>
    <cellStyle name="Total 2 7 5 6 2" xfId="16028" xr:uid="{00000000-0005-0000-0000-0000B1730000}"/>
    <cellStyle name="Total 2 7 5 6 2 2" xfId="30860" xr:uid="{00000000-0005-0000-0000-0000B2730000}"/>
    <cellStyle name="Total 2 7 5 6 3" xfId="18403" xr:uid="{00000000-0005-0000-0000-0000B3730000}"/>
    <cellStyle name="Total 2 7 5 7" xfId="12048" xr:uid="{00000000-0005-0000-0000-0000B4730000}"/>
    <cellStyle name="Total 2 7 5 7 2" xfId="26880" xr:uid="{00000000-0005-0000-0000-0000B5730000}"/>
    <cellStyle name="Total 2 7 5 8" xfId="9708" xr:uid="{00000000-0005-0000-0000-0000B6730000}"/>
    <cellStyle name="Total 2 7 5 8 2" xfId="20008" xr:uid="{00000000-0005-0000-0000-0000B7730000}"/>
    <cellStyle name="Total 2 7 6" xfId="1798" xr:uid="{00000000-0005-0000-0000-0000B8730000}"/>
    <cellStyle name="Total 2 7 6 2" xfId="3934" xr:uid="{00000000-0005-0000-0000-0000B9730000}"/>
    <cellStyle name="Total 2 7 6 2 2" xfId="7984" xr:uid="{00000000-0005-0000-0000-0000BA730000}"/>
    <cellStyle name="Total 2 7 6 2 2 2" xfId="17439" xr:uid="{00000000-0005-0000-0000-0000BB730000}"/>
    <cellStyle name="Total 2 7 6 2 2 2 2" xfId="32271" xr:uid="{00000000-0005-0000-0000-0000BC730000}"/>
    <cellStyle name="Total 2 7 6 2 2 3" xfId="19208" xr:uid="{00000000-0005-0000-0000-0000BD730000}"/>
    <cellStyle name="Total 2 7 6 2 3" xfId="14267" xr:uid="{00000000-0005-0000-0000-0000BE730000}"/>
    <cellStyle name="Total 2 7 6 2 3 2" xfId="29099" xr:uid="{00000000-0005-0000-0000-0000BF730000}"/>
    <cellStyle name="Total 2 7 6 2 4" xfId="11054" xr:uid="{00000000-0005-0000-0000-0000C0730000}"/>
    <cellStyle name="Total 2 7 6 2 4 2" xfId="25886" xr:uid="{00000000-0005-0000-0000-0000C1730000}"/>
    <cellStyle name="Total 2 7 6 3" xfId="4776" xr:uid="{00000000-0005-0000-0000-0000C2730000}"/>
    <cellStyle name="Total 2 7 6 3 2" xfId="8815" xr:uid="{00000000-0005-0000-0000-0000C3730000}"/>
    <cellStyle name="Total 2 7 6 3 2 2" xfId="17887" xr:uid="{00000000-0005-0000-0000-0000C4730000}"/>
    <cellStyle name="Total 2 7 6 3 2 2 2" xfId="32719" xr:uid="{00000000-0005-0000-0000-0000C5730000}"/>
    <cellStyle name="Total 2 7 6 3 2 3" xfId="19504" xr:uid="{00000000-0005-0000-0000-0000C6730000}"/>
    <cellStyle name="Total 2 7 6 3 3" xfId="15100" xr:uid="{00000000-0005-0000-0000-0000C7730000}"/>
    <cellStyle name="Total 2 7 6 3 3 2" xfId="29932" xr:uid="{00000000-0005-0000-0000-0000C8730000}"/>
    <cellStyle name="Total 2 7 6 3 4" xfId="11490" xr:uid="{00000000-0005-0000-0000-0000C9730000}"/>
    <cellStyle name="Total 2 7 6 3 4 2" xfId="26322" xr:uid="{00000000-0005-0000-0000-0000CA730000}"/>
    <cellStyle name="Total 2 7 6 4" xfId="2766" xr:uid="{00000000-0005-0000-0000-0000CB730000}"/>
    <cellStyle name="Total 2 7 6 4 2" xfId="6857" xr:uid="{00000000-0005-0000-0000-0000CC730000}"/>
    <cellStyle name="Total 2 7 6 4 2 2" xfId="16781" xr:uid="{00000000-0005-0000-0000-0000CD730000}"/>
    <cellStyle name="Total 2 7 6 4 2 2 2" xfId="31613" xr:uid="{00000000-0005-0000-0000-0000CE730000}"/>
    <cellStyle name="Total 2 7 6 4 2 3" xfId="18795" xr:uid="{00000000-0005-0000-0000-0000CF730000}"/>
    <cellStyle name="Total 2 7 6 4 3" xfId="13104" xr:uid="{00000000-0005-0000-0000-0000D0730000}"/>
    <cellStyle name="Total 2 7 6 4 3 2" xfId="27936" xr:uid="{00000000-0005-0000-0000-0000D1730000}"/>
    <cellStyle name="Total 2 7 6 4 4" xfId="10434" xr:uid="{00000000-0005-0000-0000-0000D2730000}"/>
    <cellStyle name="Total 2 7 6 4 4 2" xfId="25266" xr:uid="{00000000-0005-0000-0000-0000D3730000}"/>
    <cellStyle name="Total 2 7 6 5" xfId="5930" xr:uid="{00000000-0005-0000-0000-0000D4730000}"/>
    <cellStyle name="Total 2 7 6 5 2" xfId="16122" xr:uid="{00000000-0005-0000-0000-0000D5730000}"/>
    <cellStyle name="Total 2 7 6 5 2 2" xfId="30954" xr:uid="{00000000-0005-0000-0000-0000D6730000}"/>
    <cellStyle name="Total 2 7 6 5 3" xfId="18437" xr:uid="{00000000-0005-0000-0000-0000D7730000}"/>
    <cellStyle name="Total 2 7 6 6" xfId="12192" xr:uid="{00000000-0005-0000-0000-0000D8730000}"/>
    <cellStyle name="Total 2 7 6 6 2" xfId="27024" xr:uid="{00000000-0005-0000-0000-0000D9730000}"/>
    <cellStyle name="Total 2 7 6 7" xfId="9788" xr:uid="{00000000-0005-0000-0000-0000DA730000}"/>
    <cellStyle name="Total 2 7 6 7 2" xfId="24745" xr:uid="{00000000-0005-0000-0000-0000DB730000}"/>
    <cellStyle name="Total 2 7 7" xfId="2168" xr:uid="{00000000-0005-0000-0000-0000DC730000}"/>
    <cellStyle name="Total 2 7 7 2" xfId="3675" xr:uid="{00000000-0005-0000-0000-0000DD730000}"/>
    <cellStyle name="Total 2 7 7 2 2" xfId="7733" xr:uid="{00000000-0005-0000-0000-0000DE730000}"/>
    <cellStyle name="Total 2 7 7 2 2 2" xfId="17310" xr:uid="{00000000-0005-0000-0000-0000DF730000}"/>
    <cellStyle name="Total 2 7 7 2 2 2 2" xfId="32142" xr:uid="{00000000-0005-0000-0000-0000E0730000}"/>
    <cellStyle name="Total 2 7 7 2 2 3" xfId="19118" xr:uid="{00000000-0005-0000-0000-0000E1730000}"/>
    <cellStyle name="Total 2 7 7 2 3" xfId="14010" xr:uid="{00000000-0005-0000-0000-0000E2730000}"/>
    <cellStyle name="Total 2 7 7 2 3 2" xfId="28842" xr:uid="{00000000-0005-0000-0000-0000E3730000}"/>
    <cellStyle name="Total 2 7 7 2 4" xfId="10927" xr:uid="{00000000-0005-0000-0000-0000E4730000}"/>
    <cellStyle name="Total 2 7 7 2 4 2" xfId="25759" xr:uid="{00000000-0005-0000-0000-0000E5730000}"/>
    <cellStyle name="Total 2 7 7 3" xfId="5136" xr:uid="{00000000-0005-0000-0000-0000E6730000}"/>
    <cellStyle name="Total 2 7 7 3 2" xfId="9175" xr:uid="{00000000-0005-0000-0000-0000E7730000}"/>
    <cellStyle name="Total 2 7 7 3 2 2" xfId="18098" xr:uid="{00000000-0005-0000-0000-0000E8730000}"/>
    <cellStyle name="Total 2 7 7 3 2 2 2" xfId="32930" xr:uid="{00000000-0005-0000-0000-0000E9730000}"/>
    <cellStyle name="Total 2 7 7 3 2 3" xfId="19649" xr:uid="{00000000-0005-0000-0000-0000EA730000}"/>
    <cellStyle name="Total 2 7 7 3 3" xfId="15454" xr:uid="{00000000-0005-0000-0000-0000EB730000}"/>
    <cellStyle name="Total 2 7 7 3 3 2" xfId="30286" xr:uid="{00000000-0005-0000-0000-0000EC730000}"/>
    <cellStyle name="Total 2 7 7 3 4" xfId="11695" xr:uid="{00000000-0005-0000-0000-0000ED730000}"/>
    <cellStyle name="Total 2 7 7 3 4 2" xfId="26527" xr:uid="{00000000-0005-0000-0000-0000EE730000}"/>
    <cellStyle name="Total 2 7 7 4" xfId="4166" xr:uid="{00000000-0005-0000-0000-0000EF730000}"/>
    <cellStyle name="Total 2 7 7 4 2" xfId="8207" xr:uid="{00000000-0005-0000-0000-0000F0730000}"/>
    <cellStyle name="Total 2 7 7 4 2 2" xfId="17554" xr:uid="{00000000-0005-0000-0000-0000F1730000}"/>
    <cellStyle name="Total 2 7 7 4 2 2 2" xfId="32386" xr:uid="{00000000-0005-0000-0000-0000F2730000}"/>
    <cellStyle name="Total 2 7 7 4 2 3" xfId="19292" xr:uid="{00000000-0005-0000-0000-0000F3730000}"/>
    <cellStyle name="Total 2 7 7 4 3" xfId="14498" xr:uid="{00000000-0005-0000-0000-0000F4730000}"/>
    <cellStyle name="Total 2 7 7 4 3 2" xfId="29330" xr:uid="{00000000-0005-0000-0000-0000F5730000}"/>
    <cellStyle name="Total 2 7 7 4 4" xfId="11174" xr:uid="{00000000-0005-0000-0000-0000F6730000}"/>
    <cellStyle name="Total 2 7 7 4 4 2" xfId="26006" xr:uid="{00000000-0005-0000-0000-0000F7730000}"/>
    <cellStyle name="Total 2 7 7 5" xfId="6282" xr:uid="{00000000-0005-0000-0000-0000F8730000}"/>
    <cellStyle name="Total 2 7 7 5 2" xfId="16466" xr:uid="{00000000-0005-0000-0000-0000F9730000}"/>
    <cellStyle name="Total 2 7 7 5 2 2" xfId="31298" xr:uid="{00000000-0005-0000-0000-0000FA730000}"/>
    <cellStyle name="Total 2 7 7 5 3" xfId="18585" xr:uid="{00000000-0005-0000-0000-0000FB730000}"/>
    <cellStyle name="Total 2 7 7 6" xfId="12536" xr:uid="{00000000-0005-0000-0000-0000FC730000}"/>
    <cellStyle name="Total 2 7 7 6 2" xfId="27368" xr:uid="{00000000-0005-0000-0000-0000FD730000}"/>
    <cellStyle name="Total 2 7 7 7" xfId="10118" xr:uid="{00000000-0005-0000-0000-0000FE730000}"/>
    <cellStyle name="Total 2 7 7 7 2" xfId="24950" xr:uid="{00000000-0005-0000-0000-0000FF730000}"/>
    <cellStyle name="Total 2 7 8" xfId="3162" xr:uid="{00000000-0005-0000-0000-000000740000}"/>
    <cellStyle name="Total 2 7 8 2" xfId="7226" xr:uid="{00000000-0005-0000-0000-000001740000}"/>
    <cellStyle name="Total 2 7 8 2 2" xfId="17004" xr:uid="{00000000-0005-0000-0000-000002740000}"/>
    <cellStyle name="Total 2 7 8 2 2 2" xfId="31836" xr:uid="{00000000-0005-0000-0000-000003740000}"/>
    <cellStyle name="Total 2 7 8 2 3" xfId="18947" xr:uid="{00000000-0005-0000-0000-000004740000}"/>
    <cellStyle name="Total 2 7 8 3" xfId="13500" xr:uid="{00000000-0005-0000-0000-000005740000}"/>
    <cellStyle name="Total 2 7 8 3 2" xfId="28332" xr:uid="{00000000-0005-0000-0000-000006740000}"/>
    <cellStyle name="Total 2 7 8 4" xfId="10655" xr:uid="{00000000-0005-0000-0000-000007740000}"/>
    <cellStyle name="Total 2 7 8 4 2" xfId="25487" xr:uid="{00000000-0005-0000-0000-000008740000}"/>
    <cellStyle name="Total 2 7 9" xfId="3249" xr:uid="{00000000-0005-0000-0000-000009740000}"/>
    <cellStyle name="Total 2 7 9 2" xfId="7313" xr:uid="{00000000-0005-0000-0000-00000A740000}"/>
    <cellStyle name="Total 2 7 9 2 2" xfId="17067" xr:uid="{00000000-0005-0000-0000-00000B740000}"/>
    <cellStyle name="Total 2 7 9 2 2 2" xfId="31899" xr:uid="{00000000-0005-0000-0000-00000C740000}"/>
    <cellStyle name="Total 2 7 9 2 3" xfId="18972" xr:uid="{00000000-0005-0000-0000-00000D740000}"/>
    <cellStyle name="Total 2 7 9 3" xfId="13586" xr:uid="{00000000-0005-0000-0000-00000E740000}"/>
    <cellStyle name="Total 2 7 9 3 2" xfId="28418" xr:uid="{00000000-0005-0000-0000-00000F740000}"/>
    <cellStyle name="Total 2 7 9 4" xfId="10699" xr:uid="{00000000-0005-0000-0000-000010740000}"/>
    <cellStyle name="Total 2 7 9 4 2" xfId="25531" xr:uid="{00000000-0005-0000-0000-000011740000}"/>
    <cellStyle name="Total 2 8" xfId="1274" xr:uid="{00000000-0005-0000-0000-000012740000}"/>
    <cellStyle name="Total 2 8 10" xfId="2341" xr:uid="{00000000-0005-0000-0000-000013740000}"/>
    <cellStyle name="Total 2 8 10 2" xfId="6453" xr:uid="{00000000-0005-0000-0000-000014740000}"/>
    <cellStyle name="Total 2 8 10 2 2" xfId="16545" xr:uid="{00000000-0005-0000-0000-000015740000}"/>
    <cellStyle name="Total 2 8 10 2 2 2" xfId="31377" xr:uid="{00000000-0005-0000-0000-000016740000}"/>
    <cellStyle name="Total 2 8 10 2 3" xfId="18633" xr:uid="{00000000-0005-0000-0000-000017740000}"/>
    <cellStyle name="Total 2 8 10 3" xfId="12681" xr:uid="{00000000-0005-0000-0000-000018740000}"/>
    <cellStyle name="Total 2 8 10 3 2" xfId="27513" xr:uid="{00000000-0005-0000-0000-000019740000}"/>
    <cellStyle name="Total 2 8 10 4" xfId="10196" xr:uid="{00000000-0005-0000-0000-00001A740000}"/>
    <cellStyle name="Total 2 8 10 4 2" xfId="25028" xr:uid="{00000000-0005-0000-0000-00001B740000}"/>
    <cellStyle name="Total 2 8 11" xfId="5303" xr:uid="{00000000-0005-0000-0000-00001C740000}"/>
    <cellStyle name="Total 2 8 11 2" xfId="9311" xr:uid="{00000000-0005-0000-0000-00001D740000}"/>
    <cellStyle name="Total 2 8 11 2 2" xfId="18178" xr:uid="{00000000-0005-0000-0000-00001E740000}"/>
    <cellStyle name="Total 2 8 11 2 2 2" xfId="33010" xr:uid="{00000000-0005-0000-0000-00001F740000}"/>
    <cellStyle name="Total 2 8 11 2 3" xfId="19697" xr:uid="{00000000-0005-0000-0000-000020740000}"/>
    <cellStyle name="Total 2 8 11 3" xfId="15619" xr:uid="{00000000-0005-0000-0000-000021740000}"/>
    <cellStyle name="Total 2 8 11 3 2" xfId="30451" xr:uid="{00000000-0005-0000-0000-000022740000}"/>
    <cellStyle name="Total 2 8 12" xfId="5461" xr:uid="{00000000-0005-0000-0000-000023740000}"/>
    <cellStyle name="Total 2 8 12 2" xfId="15697" xr:uid="{00000000-0005-0000-0000-000024740000}"/>
    <cellStyle name="Total 2 8 12 2 2" xfId="30529" xr:uid="{00000000-0005-0000-0000-000025740000}"/>
    <cellStyle name="Total 2 8 12 3" xfId="18274" xr:uid="{00000000-0005-0000-0000-000026740000}"/>
    <cellStyle name="Total 2 8 13" xfId="9330" xr:uid="{00000000-0005-0000-0000-000027740000}"/>
    <cellStyle name="Total 2 8 13 2" xfId="24636" xr:uid="{00000000-0005-0000-0000-000028740000}"/>
    <cellStyle name="Total 2 8 14" xfId="5319" xr:uid="{00000000-0005-0000-0000-000029740000}"/>
    <cellStyle name="Total 2 8 14 2" xfId="18193" xr:uid="{00000000-0005-0000-0000-00002A740000}"/>
    <cellStyle name="Total 2 8 2" xfId="1373" xr:uid="{00000000-0005-0000-0000-00002B740000}"/>
    <cellStyle name="Total 2 8 2 2" xfId="1877" xr:uid="{00000000-0005-0000-0000-00002C740000}"/>
    <cellStyle name="Total 2 8 2 2 2" xfId="3789" xr:uid="{00000000-0005-0000-0000-00002D740000}"/>
    <cellStyle name="Total 2 8 2 2 2 2" xfId="7844" xr:uid="{00000000-0005-0000-0000-00002E740000}"/>
    <cellStyle name="Total 2 8 2 2 2 2 2" xfId="17365" xr:uid="{00000000-0005-0000-0000-00002F740000}"/>
    <cellStyle name="Total 2 8 2 2 2 2 2 2" xfId="32197" xr:uid="{00000000-0005-0000-0000-000030740000}"/>
    <cellStyle name="Total 2 8 2 2 2 2 3" xfId="19155" xr:uid="{00000000-0005-0000-0000-000031740000}"/>
    <cellStyle name="Total 2 8 2 2 2 3" xfId="14124" xr:uid="{00000000-0005-0000-0000-000032740000}"/>
    <cellStyle name="Total 2 8 2 2 2 3 2" xfId="28956" xr:uid="{00000000-0005-0000-0000-000033740000}"/>
    <cellStyle name="Total 2 8 2 2 2 4" xfId="10982" xr:uid="{00000000-0005-0000-0000-000034740000}"/>
    <cellStyle name="Total 2 8 2 2 2 4 2" xfId="25814" xr:uid="{00000000-0005-0000-0000-000035740000}"/>
    <cellStyle name="Total 2 8 2 2 3" xfId="4855" xr:uid="{00000000-0005-0000-0000-000036740000}"/>
    <cellStyle name="Total 2 8 2 2 3 2" xfId="8894" xr:uid="{00000000-0005-0000-0000-000037740000}"/>
    <cellStyle name="Total 2 8 2 2 3 2 2" xfId="17935" xr:uid="{00000000-0005-0000-0000-000038740000}"/>
    <cellStyle name="Total 2 8 2 2 3 2 2 2" xfId="32767" xr:uid="{00000000-0005-0000-0000-000039740000}"/>
    <cellStyle name="Total 2 8 2 2 3 2 3" xfId="19537" xr:uid="{00000000-0005-0000-0000-00003A740000}"/>
    <cellStyle name="Total 2 8 2 2 3 3" xfId="15179" xr:uid="{00000000-0005-0000-0000-00003B740000}"/>
    <cellStyle name="Total 2 8 2 2 3 3 2" xfId="30011" xr:uid="{00000000-0005-0000-0000-00003C740000}"/>
    <cellStyle name="Total 2 8 2 2 3 4" xfId="11538" xr:uid="{00000000-0005-0000-0000-00003D740000}"/>
    <cellStyle name="Total 2 8 2 2 3 4 2" xfId="26370" xr:uid="{00000000-0005-0000-0000-00003E740000}"/>
    <cellStyle name="Total 2 8 2 2 4" xfId="2845" xr:uid="{00000000-0005-0000-0000-00003F740000}"/>
    <cellStyle name="Total 2 8 2 2 4 2" xfId="6936" xr:uid="{00000000-0005-0000-0000-000040740000}"/>
    <cellStyle name="Total 2 8 2 2 4 2 2" xfId="16829" xr:uid="{00000000-0005-0000-0000-000041740000}"/>
    <cellStyle name="Total 2 8 2 2 4 2 2 2" xfId="31661" xr:uid="{00000000-0005-0000-0000-000042740000}"/>
    <cellStyle name="Total 2 8 2 2 4 2 3" xfId="18828" xr:uid="{00000000-0005-0000-0000-000043740000}"/>
    <cellStyle name="Total 2 8 2 2 4 3" xfId="13183" xr:uid="{00000000-0005-0000-0000-000044740000}"/>
    <cellStyle name="Total 2 8 2 2 4 3 2" xfId="28015" xr:uid="{00000000-0005-0000-0000-000045740000}"/>
    <cellStyle name="Total 2 8 2 2 4 4" xfId="10482" xr:uid="{00000000-0005-0000-0000-000046740000}"/>
    <cellStyle name="Total 2 8 2 2 4 4 2" xfId="25314" xr:uid="{00000000-0005-0000-0000-000047740000}"/>
    <cellStyle name="Total 2 8 2 2 5" xfId="6009" xr:uid="{00000000-0005-0000-0000-000048740000}"/>
    <cellStyle name="Total 2 8 2 2 5 2" xfId="16201" xr:uid="{00000000-0005-0000-0000-000049740000}"/>
    <cellStyle name="Total 2 8 2 2 5 2 2" xfId="31033" xr:uid="{00000000-0005-0000-0000-00004A740000}"/>
    <cellStyle name="Total 2 8 2 2 5 3" xfId="18470" xr:uid="{00000000-0005-0000-0000-00004B740000}"/>
    <cellStyle name="Total 2 8 2 2 6" xfId="12271" xr:uid="{00000000-0005-0000-0000-00004C740000}"/>
    <cellStyle name="Total 2 8 2 2 6 2" xfId="27103" xr:uid="{00000000-0005-0000-0000-00004D740000}"/>
    <cellStyle name="Total 2 8 2 2 7" xfId="9867" xr:uid="{00000000-0005-0000-0000-00004E740000}"/>
    <cellStyle name="Total 2 8 2 2 7 2" xfId="24793" xr:uid="{00000000-0005-0000-0000-00004F740000}"/>
    <cellStyle name="Total 2 8 2 3" xfId="3635" xr:uid="{00000000-0005-0000-0000-000050740000}"/>
    <cellStyle name="Total 2 8 2 3 2" xfId="7694" xr:uid="{00000000-0005-0000-0000-000051740000}"/>
    <cellStyle name="Total 2 8 2 3 2 2" xfId="17293" xr:uid="{00000000-0005-0000-0000-000052740000}"/>
    <cellStyle name="Total 2 8 2 3 2 2 2" xfId="32125" xr:uid="{00000000-0005-0000-0000-000053740000}"/>
    <cellStyle name="Total 2 8 2 3 2 3" xfId="19107" xr:uid="{00000000-0005-0000-0000-000054740000}"/>
    <cellStyle name="Total 2 8 2 3 3" xfId="13970" xr:uid="{00000000-0005-0000-0000-000055740000}"/>
    <cellStyle name="Total 2 8 2 3 3 2" xfId="28802" xr:uid="{00000000-0005-0000-0000-000056740000}"/>
    <cellStyle name="Total 2 8 2 3 4" xfId="10909" xr:uid="{00000000-0005-0000-0000-000057740000}"/>
    <cellStyle name="Total 2 8 2 3 4 2" xfId="25741" xr:uid="{00000000-0005-0000-0000-000058740000}"/>
    <cellStyle name="Total 2 8 2 4" xfId="4435" xr:uid="{00000000-0005-0000-0000-000059740000}"/>
    <cellStyle name="Total 2 8 2 4 2" xfId="8474" xr:uid="{00000000-0005-0000-0000-00005A740000}"/>
    <cellStyle name="Total 2 8 2 4 2 2" xfId="17695" xr:uid="{00000000-0005-0000-0000-00005B740000}"/>
    <cellStyle name="Total 2 8 2 4 2 2 2" xfId="32527" xr:uid="{00000000-0005-0000-0000-00005C740000}"/>
    <cellStyle name="Total 2 8 2 4 2 3" xfId="19377" xr:uid="{00000000-0005-0000-0000-00005D740000}"/>
    <cellStyle name="Total 2 8 2 4 3" xfId="14764" xr:uid="{00000000-0005-0000-0000-00005E740000}"/>
    <cellStyle name="Total 2 8 2 4 3 2" xfId="29596" xr:uid="{00000000-0005-0000-0000-00005F740000}"/>
    <cellStyle name="Total 2 8 2 4 4" xfId="11303" xr:uid="{00000000-0005-0000-0000-000060740000}"/>
    <cellStyle name="Total 2 8 2 4 4 2" xfId="26135" xr:uid="{00000000-0005-0000-0000-000061740000}"/>
    <cellStyle name="Total 2 8 2 5" xfId="2425" xr:uid="{00000000-0005-0000-0000-000062740000}"/>
    <cellStyle name="Total 2 8 2 5 2" xfId="6537" xr:uid="{00000000-0005-0000-0000-000063740000}"/>
    <cellStyle name="Total 2 8 2 5 2 2" xfId="16593" xr:uid="{00000000-0005-0000-0000-000064740000}"/>
    <cellStyle name="Total 2 8 2 5 2 2 2" xfId="31425" xr:uid="{00000000-0005-0000-0000-000065740000}"/>
    <cellStyle name="Total 2 8 2 5 2 3" xfId="18665" xr:uid="{00000000-0005-0000-0000-000066740000}"/>
    <cellStyle name="Total 2 8 2 5 3" xfId="12764" xr:uid="{00000000-0005-0000-0000-000067740000}"/>
    <cellStyle name="Total 2 8 2 5 3 2" xfId="27596" xr:uid="{00000000-0005-0000-0000-000068740000}"/>
    <cellStyle name="Total 2 8 2 5 4" xfId="10243" xr:uid="{00000000-0005-0000-0000-000069740000}"/>
    <cellStyle name="Total 2 8 2 5 4 2" xfId="25075" xr:uid="{00000000-0005-0000-0000-00006A740000}"/>
    <cellStyle name="Total 2 8 2 6" xfId="5550" xr:uid="{00000000-0005-0000-0000-00006B740000}"/>
    <cellStyle name="Total 2 8 2 6 2" xfId="15785" xr:uid="{00000000-0005-0000-0000-00006C740000}"/>
    <cellStyle name="Total 2 8 2 6 2 2" xfId="30617" xr:uid="{00000000-0005-0000-0000-00006D740000}"/>
    <cellStyle name="Total 2 8 2 6 3" xfId="18307" xr:uid="{00000000-0005-0000-0000-00006E740000}"/>
    <cellStyle name="Total 2 8 2 7" xfId="11800" xr:uid="{00000000-0005-0000-0000-00006F740000}"/>
    <cellStyle name="Total 2 8 2 7 2" xfId="26632" xr:uid="{00000000-0005-0000-0000-000070740000}"/>
    <cellStyle name="Total 2 8 2 8" xfId="9471" xr:uid="{00000000-0005-0000-0000-000071740000}"/>
    <cellStyle name="Total 2 8 2 8 2" xfId="19775" xr:uid="{00000000-0005-0000-0000-000072740000}"/>
    <cellStyle name="Total 2 8 3" xfId="1545" xr:uid="{00000000-0005-0000-0000-000073740000}"/>
    <cellStyle name="Total 2 8 3 2" xfId="2042" xr:uid="{00000000-0005-0000-0000-000074740000}"/>
    <cellStyle name="Total 2 8 3 2 2" xfId="4325" xr:uid="{00000000-0005-0000-0000-000075740000}"/>
    <cellStyle name="Total 2 8 3 2 2 2" xfId="8364" xr:uid="{00000000-0005-0000-0000-000076740000}"/>
    <cellStyle name="Total 2 8 3 2 2 2 2" xfId="17642" xr:uid="{00000000-0005-0000-0000-000077740000}"/>
    <cellStyle name="Total 2 8 3 2 2 2 2 2" xfId="32474" xr:uid="{00000000-0005-0000-0000-000078740000}"/>
    <cellStyle name="Total 2 8 3 2 2 2 3" xfId="19343" xr:uid="{00000000-0005-0000-0000-000079740000}"/>
    <cellStyle name="Total 2 8 3 2 2 3" xfId="14656" xr:uid="{00000000-0005-0000-0000-00007A740000}"/>
    <cellStyle name="Total 2 8 3 2 2 3 2" xfId="29488" xr:uid="{00000000-0005-0000-0000-00007B740000}"/>
    <cellStyle name="Total 2 8 3 2 2 4" xfId="11252" xr:uid="{00000000-0005-0000-0000-00007C740000}"/>
    <cellStyle name="Total 2 8 3 2 2 4 2" xfId="26084" xr:uid="{00000000-0005-0000-0000-00007D740000}"/>
    <cellStyle name="Total 2 8 3 2 3" xfId="5010" xr:uid="{00000000-0005-0000-0000-00007E740000}"/>
    <cellStyle name="Total 2 8 3 2 3 2" xfId="9049" xr:uid="{00000000-0005-0000-0000-00007F740000}"/>
    <cellStyle name="Total 2 8 3 2 3 2 2" xfId="17987" xr:uid="{00000000-0005-0000-0000-000080740000}"/>
    <cellStyle name="Total 2 8 3 2 3 2 2 2" xfId="32819" xr:uid="{00000000-0005-0000-0000-000081740000}"/>
    <cellStyle name="Total 2 8 3 2 3 2 3" xfId="19569" xr:uid="{00000000-0005-0000-0000-000082740000}"/>
    <cellStyle name="Total 2 8 3 2 3 3" xfId="15332" xr:uid="{00000000-0005-0000-0000-000083740000}"/>
    <cellStyle name="Total 2 8 3 2 3 3 2" xfId="30164" xr:uid="{00000000-0005-0000-0000-000084740000}"/>
    <cellStyle name="Total 2 8 3 2 3 4" xfId="11588" xr:uid="{00000000-0005-0000-0000-000085740000}"/>
    <cellStyle name="Total 2 8 3 2 3 4 2" xfId="26420" xr:uid="{00000000-0005-0000-0000-000086740000}"/>
    <cellStyle name="Total 2 8 3 2 4" xfId="3000" xr:uid="{00000000-0005-0000-0000-000087740000}"/>
    <cellStyle name="Total 2 8 3 2 4 2" xfId="7080" xr:uid="{00000000-0005-0000-0000-000088740000}"/>
    <cellStyle name="Total 2 8 3 2 4 2 2" xfId="16879" xr:uid="{00000000-0005-0000-0000-000089740000}"/>
    <cellStyle name="Total 2 8 3 2 4 2 2 2" xfId="31711" xr:uid="{00000000-0005-0000-0000-00008A740000}"/>
    <cellStyle name="Total 2 8 3 2 4 2 3" xfId="18861" xr:uid="{00000000-0005-0000-0000-00008B740000}"/>
    <cellStyle name="Total 2 8 3 2 4 3" xfId="13338" xr:uid="{00000000-0005-0000-0000-00008C740000}"/>
    <cellStyle name="Total 2 8 3 2 4 3 2" xfId="28170" xr:uid="{00000000-0005-0000-0000-00008D740000}"/>
    <cellStyle name="Total 2 8 3 2 4 4" xfId="10534" xr:uid="{00000000-0005-0000-0000-00008E740000}"/>
    <cellStyle name="Total 2 8 3 2 4 4 2" xfId="25366" xr:uid="{00000000-0005-0000-0000-00008F740000}"/>
    <cellStyle name="Total 2 8 3 2 5" xfId="6172" xr:uid="{00000000-0005-0000-0000-000090740000}"/>
    <cellStyle name="Total 2 8 3 2 5 2" xfId="16359" xr:uid="{00000000-0005-0000-0000-000091740000}"/>
    <cellStyle name="Total 2 8 3 2 5 2 2" xfId="31191" xr:uid="{00000000-0005-0000-0000-000092740000}"/>
    <cellStyle name="Total 2 8 3 2 5 3" xfId="18502" xr:uid="{00000000-0005-0000-0000-000093740000}"/>
    <cellStyle name="Total 2 8 3 2 6" xfId="12429" xr:uid="{00000000-0005-0000-0000-000094740000}"/>
    <cellStyle name="Total 2 8 3 2 6 2" xfId="27261" xr:uid="{00000000-0005-0000-0000-000095740000}"/>
    <cellStyle name="Total 2 8 3 2 7" xfId="10011" xr:uid="{00000000-0005-0000-0000-000096740000}"/>
    <cellStyle name="Total 2 8 3 2 7 2" xfId="24843" xr:uid="{00000000-0005-0000-0000-000097740000}"/>
    <cellStyle name="Total 2 8 3 3" xfId="3175" xr:uid="{00000000-0005-0000-0000-000098740000}"/>
    <cellStyle name="Total 2 8 3 3 2" xfId="7239" xr:uid="{00000000-0005-0000-0000-000099740000}"/>
    <cellStyle name="Total 2 8 3 3 2 2" xfId="17013" xr:uid="{00000000-0005-0000-0000-00009A740000}"/>
    <cellStyle name="Total 2 8 3 3 2 2 2" xfId="31845" xr:uid="{00000000-0005-0000-0000-00009B740000}"/>
    <cellStyle name="Total 2 8 3 3 2 3" xfId="18951" xr:uid="{00000000-0005-0000-0000-00009C740000}"/>
    <cellStyle name="Total 2 8 3 3 3" xfId="13513" xr:uid="{00000000-0005-0000-0000-00009D740000}"/>
    <cellStyle name="Total 2 8 3 3 3 2" xfId="28345" xr:uid="{00000000-0005-0000-0000-00009E740000}"/>
    <cellStyle name="Total 2 8 3 3 4" xfId="10663" xr:uid="{00000000-0005-0000-0000-00009F740000}"/>
    <cellStyle name="Total 2 8 3 3 4 2" xfId="25495" xr:uid="{00000000-0005-0000-0000-0000A0740000}"/>
    <cellStyle name="Total 2 8 3 4" xfId="4590" xr:uid="{00000000-0005-0000-0000-0000A1740000}"/>
    <cellStyle name="Total 2 8 3 4 2" xfId="8629" xr:uid="{00000000-0005-0000-0000-0000A2740000}"/>
    <cellStyle name="Total 2 8 3 4 2 2" xfId="17747" xr:uid="{00000000-0005-0000-0000-0000A3740000}"/>
    <cellStyle name="Total 2 8 3 4 2 2 2" xfId="32579" xr:uid="{00000000-0005-0000-0000-0000A4740000}"/>
    <cellStyle name="Total 2 8 3 4 2 3" xfId="19409" xr:uid="{00000000-0005-0000-0000-0000A5740000}"/>
    <cellStyle name="Total 2 8 3 4 3" xfId="14917" xr:uid="{00000000-0005-0000-0000-0000A6740000}"/>
    <cellStyle name="Total 2 8 3 4 3 2" xfId="29749" xr:uid="{00000000-0005-0000-0000-0000A7740000}"/>
    <cellStyle name="Total 2 8 3 4 4" xfId="11353" xr:uid="{00000000-0005-0000-0000-0000A8740000}"/>
    <cellStyle name="Total 2 8 3 4 4 2" xfId="26185" xr:uid="{00000000-0005-0000-0000-0000A9740000}"/>
    <cellStyle name="Total 2 8 3 5" xfId="2580" xr:uid="{00000000-0005-0000-0000-0000AA740000}"/>
    <cellStyle name="Total 2 8 3 5 2" xfId="6686" xr:uid="{00000000-0005-0000-0000-0000AB740000}"/>
    <cellStyle name="Total 2 8 3 5 2 2" xfId="16644" xr:uid="{00000000-0005-0000-0000-0000AC740000}"/>
    <cellStyle name="Total 2 8 3 5 2 2 2" xfId="31476" xr:uid="{00000000-0005-0000-0000-0000AD740000}"/>
    <cellStyle name="Total 2 8 3 5 2 3" xfId="18697" xr:uid="{00000000-0005-0000-0000-0000AE740000}"/>
    <cellStyle name="Total 2 8 3 5 3" xfId="12918" xr:uid="{00000000-0005-0000-0000-0000AF740000}"/>
    <cellStyle name="Total 2 8 3 5 3 2" xfId="27750" xr:uid="{00000000-0005-0000-0000-0000B0740000}"/>
    <cellStyle name="Total 2 8 3 5 4" xfId="10294" xr:uid="{00000000-0005-0000-0000-0000B1740000}"/>
    <cellStyle name="Total 2 8 3 5 4 2" xfId="25126" xr:uid="{00000000-0005-0000-0000-0000B2740000}"/>
    <cellStyle name="Total 2 8 3 6" xfId="5703" xr:uid="{00000000-0005-0000-0000-0000B3740000}"/>
    <cellStyle name="Total 2 8 3 6 2" xfId="15938" xr:uid="{00000000-0005-0000-0000-0000B4740000}"/>
    <cellStyle name="Total 2 8 3 6 2 2" xfId="30770" xr:uid="{00000000-0005-0000-0000-0000B5740000}"/>
    <cellStyle name="Total 2 8 3 6 3" xfId="18339" xr:uid="{00000000-0005-0000-0000-0000B6740000}"/>
    <cellStyle name="Total 2 8 3 7" xfId="11958" xr:uid="{00000000-0005-0000-0000-0000B7740000}"/>
    <cellStyle name="Total 2 8 3 7 2" xfId="26790" xr:uid="{00000000-0005-0000-0000-0000B8740000}"/>
    <cellStyle name="Total 2 8 3 8" xfId="9616" xr:uid="{00000000-0005-0000-0000-0000B9740000}"/>
    <cellStyle name="Total 2 8 3 8 2" xfId="19918" xr:uid="{00000000-0005-0000-0000-0000BA740000}"/>
    <cellStyle name="Total 2 8 4" xfId="1598" xr:uid="{00000000-0005-0000-0000-0000BB740000}"/>
    <cellStyle name="Total 2 8 4 2" xfId="2095" xr:uid="{00000000-0005-0000-0000-0000BC740000}"/>
    <cellStyle name="Total 2 8 4 2 2" xfId="3489" xr:uid="{00000000-0005-0000-0000-0000BD740000}"/>
    <cellStyle name="Total 2 8 4 2 2 2" xfId="7551" xr:uid="{00000000-0005-0000-0000-0000BE740000}"/>
    <cellStyle name="Total 2 8 4 2 2 2 2" xfId="17213" xr:uid="{00000000-0005-0000-0000-0000BF740000}"/>
    <cellStyle name="Total 2 8 4 2 2 2 2 2" xfId="32045" xr:uid="{00000000-0005-0000-0000-0000C0740000}"/>
    <cellStyle name="Total 2 8 4 2 2 2 3" xfId="19050" xr:uid="{00000000-0005-0000-0000-0000C1740000}"/>
    <cellStyle name="Total 2 8 4 2 2 3" xfId="13826" xr:uid="{00000000-0005-0000-0000-0000C2740000}"/>
    <cellStyle name="Total 2 8 4 2 2 3 2" xfId="28658" xr:uid="{00000000-0005-0000-0000-0000C3740000}"/>
    <cellStyle name="Total 2 8 4 2 2 4" xfId="10831" xr:uid="{00000000-0005-0000-0000-0000C4740000}"/>
    <cellStyle name="Total 2 8 4 2 2 4 2" xfId="25663" xr:uid="{00000000-0005-0000-0000-0000C5740000}"/>
    <cellStyle name="Total 2 8 4 2 3" xfId="5063" xr:uid="{00000000-0005-0000-0000-0000C6740000}"/>
    <cellStyle name="Total 2 8 4 2 3 2" xfId="9102" xr:uid="{00000000-0005-0000-0000-0000C7740000}"/>
    <cellStyle name="Total 2 8 4 2 3 2 2" xfId="18035" xr:uid="{00000000-0005-0000-0000-0000C8740000}"/>
    <cellStyle name="Total 2 8 4 2 3 2 2 2" xfId="32867" xr:uid="{00000000-0005-0000-0000-0000C9740000}"/>
    <cellStyle name="Total 2 8 4 2 3 2 3" xfId="19601" xr:uid="{00000000-0005-0000-0000-0000CA740000}"/>
    <cellStyle name="Total 2 8 4 2 3 3" xfId="15384" xr:uid="{00000000-0005-0000-0000-0000CB740000}"/>
    <cellStyle name="Total 2 8 4 2 3 3 2" xfId="30216" xr:uid="{00000000-0005-0000-0000-0000CC740000}"/>
    <cellStyle name="Total 2 8 4 2 3 4" xfId="11635" xr:uid="{00000000-0005-0000-0000-0000CD740000}"/>
    <cellStyle name="Total 2 8 4 2 3 4 2" xfId="26467" xr:uid="{00000000-0005-0000-0000-0000CE740000}"/>
    <cellStyle name="Total 2 8 4 2 4" xfId="3053" xr:uid="{00000000-0005-0000-0000-0000CF740000}"/>
    <cellStyle name="Total 2 8 4 2 4 2" xfId="7128" xr:uid="{00000000-0005-0000-0000-0000D0740000}"/>
    <cellStyle name="Total 2 8 4 2 4 2 2" xfId="16926" xr:uid="{00000000-0005-0000-0000-0000D1740000}"/>
    <cellStyle name="Total 2 8 4 2 4 2 2 2" xfId="31758" xr:uid="{00000000-0005-0000-0000-0000D2740000}"/>
    <cellStyle name="Total 2 8 4 2 4 2 3" xfId="18894" xr:uid="{00000000-0005-0000-0000-0000D3740000}"/>
    <cellStyle name="Total 2 8 4 2 4 3" xfId="13391" xr:uid="{00000000-0005-0000-0000-0000D4740000}"/>
    <cellStyle name="Total 2 8 4 2 4 3 2" xfId="28223" xr:uid="{00000000-0005-0000-0000-0000D5740000}"/>
    <cellStyle name="Total 2 8 4 2 4 4" xfId="10582" xr:uid="{00000000-0005-0000-0000-0000D6740000}"/>
    <cellStyle name="Total 2 8 4 2 4 4 2" xfId="25414" xr:uid="{00000000-0005-0000-0000-0000D7740000}"/>
    <cellStyle name="Total 2 8 4 2 5" xfId="6220" xr:uid="{00000000-0005-0000-0000-0000D8740000}"/>
    <cellStyle name="Total 2 8 4 2 5 2" xfId="16406" xr:uid="{00000000-0005-0000-0000-0000D9740000}"/>
    <cellStyle name="Total 2 8 4 2 5 2 2" xfId="31238" xr:uid="{00000000-0005-0000-0000-0000DA740000}"/>
    <cellStyle name="Total 2 8 4 2 5 3" xfId="18535" xr:uid="{00000000-0005-0000-0000-0000DB740000}"/>
    <cellStyle name="Total 2 8 4 2 6" xfId="12476" xr:uid="{00000000-0005-0000-0000-0000DC740000}"/>
    <cellStyle name="Total 2 8 4 2 6 2" xfId="27308" xr:uid="{00000000-0005-0000-0000-0000DD740000}"/>
    <cellStyle name="Total 2 8 4 2 7" xfId="10058" xr:uid="{00000000-0005-0000-0000-0000DE740000}"/>
    <cellStyle name="Total 2 8 4 2 7 2" xfId="24890" xr:uid="{00000000-0005-0000-0000-0000DF740000}"/>
    <cellStyle name="Total 2 8 4 3" xfId="4330" xr:uid="{00000000-0005-0000-0000-0000E0740000}"/>
    <cellStyle name="Total 2 8 4 3 2" xfId="8369" xr:uid="{00000000-0005-0000-0000-0000E1740000}"/>
    <cellStyle name="Total 2 8 4 3 2 2" xfId="17647" xr:uid="{00000000-0005-0000-0000-0000E2740000}"/>
    <cellStyle name="Total 2 8 4 3 2 2 2" xfId="32479" xr:uid="{00000000-0005-0000-0000-0000E3740000}"/>
    <cellStyle name="Total 2 8 4 3 2 3" xfId="19347" xr:uid="{00000000-0005-0000-0000-0000E4740000}"/>
    <cellStyle name="Total 2 8 4 3 3" xfId="14661" xr:uid="{00000000-0005-0000-0000-0000E5740000}"/>
    <cellStyle name="Total 2 8 4 3 3 2" xfId="29493" xr:uid="{00000000-0005-0000-0000-0000E6740000}"/>
    <cellStyle name="Total 2 8 4 3 4" xfId="11257" xr:uid="{00000000-0005-0000-0000-0000E7740000}"/>
    <cellStyle name="Total 2 8 4 3 4 2" xfId="26089" xr:uid="{00000000-0005-0000-0000-0000E8740000}"/>
    <cellStyle name="Total 2 8 4 4" xfId="4643" xr:uid="{00000000-0005-0000-0000-0000E9740000}"/>
    <cellStyle name="Total 2 8 4 4 2" xfId="8682" xr:uid="{00000000-0005-0000-0000-0000EA740000}"/>
    <cellStyle name="Total 2 8 4 4 2 2" xfId="17795" xr:uid="{00000000-0005-0000-0000-0000EB740000}"/>
    <cellStyle name="Total 2 8 4 4 2 2 2" xfId="32627" xr:uid="{00000000-0005-0000-0000-0000EC740000}"/>
    <cellStyle name="Total 2 8 4 4 2 3" xfId="19441" xr:uid="{00000000-0005-0000-0000-0000ED740000}"/>
    <cellStyle name="Total 2 8 4 4 3" xfId="14969" xr:uid="{00000000-0005-0000-0000-0000EE740000}"/>
    <cellStyle name="Total 2 8 4 4 3 2" xfId="29801" xr:uid="{00000000-0005-0000-0000-0000EF740000}"/>
    <cellStyle name="Total 2 8 4 4 4" xfId="11400" xr:uid="{00000000-0005-0000-0000-0000F0740000}"/>
    <cellStyle name="Total 2 8 4 4 4 2" xfId="26232" xr:uid="{00000000-0005-0000-0000-0000F1740000}"/>
    <cellStyle name="Total 2 8 4 5" xfId="2633" xr:uid="{00000000-0005-0000-0000-0000F2740000}"/>
    <cellStyle name="Total 2 8 4 5 2" xfId="6734" xr:uid="{00000000-0005-0000-0000-0000F3740000}"/>
    <cellStyle name="Total 2 8 4 5 2 2" xfId="16691" xr:uid="{00000000-0005-0000-0000-0000F4740000}"/>
    <cellStyle name="Total 2 8 4 5 2 2 2" xfId="31523" xr:uid="{00000000-0005-0000-0000-0000F5740000}"/>
    <cellStyle name="Total 2 8 4 5 2 3" xfId="18730" xr:uid="{00000000-0005-0000-0000-0000F6740000}"/>
    <cellStyle name="Total 2 8 4 5 3" xfId="12971" xr:uid="{00000000-0005-0000-0000-0000F7740000}"/>
    <cellStyle name="Total 2 8 4 5 3 2" xfId="27803" xr:uid="{00000000-0005-0000-0000-0000F8740000}"/>
    <cellStyle name="Total 2 8 4 5 4" xfId="10342" xr:uid="{00000000-0005-0000-0000-0000F9740000}"/>
    <cellStyle name="Total 2 8 4 5 4 2" xfId="25174" xr:uid="{00000000-0005-0000-0000-0000FA740000}"/>
    <cellStyle name="Total 2 8 4 6" xfId="5750" xr:uid="{00000000-0005-0000-0000-0000FB740000}"/>
    <cellStyle name="Total 2 8 4 6 2" xfId="15985" xr:uid="{00000000-0005-0000-0000-0000FC740000}"/>
    <cellStyle name="Total 2 8 4 6 2 2" xfId="30817" xr:uid="{00000000-0005-0000-0000-0000FD740000}"/>
    <cellStyle name="Total 2 8 4 6 3" xfId="18371" xr:uid="{00000000-0005-0000-0000-0000FE740000}"/>
    <cellStyle name="Total 2 8 4 7" xfId="12005" xr:uid="{00000000-0005-0000-0000-0000FF740000}"/>
    <cellStyle name="Total 2 8 4 7 2" xfId="26837" xr:uid="{00000000-0005-0000-0000-000000750000}"/>
    <cellStyle name="Total 2 8 4 8" xfId="9664" xr:uid="{00000000-0005-0000-0000-000001750000}"/>
    <cellStyle name="Total 2 8 4 8 2" xfId="19965" xr:uid="{00000000-0005-0000-0000-000002750000}"/>
    <cellStyle name="Total 2 8 5" xfId="1648" xr:uid="{00000000-0005-0000-0000-000003750000}"/>
    <cellStyle name="Total 2 8 5 2" xfId="2145" xr:uid="{00000000-0005-0000-0000-000004750000}"/>
    <cellStyle name="Total 2 8 5 2 2" xfId="3416" xr:uid="{00000000-0005-0000-0000-000005750000}"/>
    <cellStyle name="Total 2 8 5 2 2 2" xfId="7479" xr:uid="{00000000-0005-0000-0000-000006750000}"/>
    <cellStyle name="Total 2 8 5 2 2 2 2" xfId="17178" xr:uid="{00000000-0005-0000-0000-000007750000}"/>
    <cellStyle name="Total 2 8 5 2 2 2 2 2" xfId="32010" xr:uid="{00000000-0005-0000-0000-000008750000}"/>
    <cellStyle name="Total 2 8 5 2 2 2 3" xfId="19027" xr:uid="{00000000-0005-0000-0000-000009750000}"/>
    <cellStyle name="Total 2 8 5 2 2 3" xfId="13753" xr:uid="{00000000-0005-0000-0000-00000A750000}"/>
    <cellStyle name="Total 2 8 5 2 2 3 2" xfId="28585" xr:uid="{00000000-0005-0000-0000-00000B750000}"/>
    <cellStyle name="Total 2 8 5 2 2 4" xfId="10797" xr:uid="{00000000-0005-0000-0000-00000C750000}"/>
    <cellStyle name="Total 2 8 5 2 2 4 2" xfId="25629" xr:uid="{00000000-0005-0000-0000-00000D750000}"/>
    <cellStyle name="Total 2 8 5 2 3" xfId="5113" xr:uid="{00000000-0005-0000-0000-00000E750000}"/>
    <cellStyle name="Total 2 8 5 2 3 2" xfId="9152" xr:uid="{00000000-0005-0000-0000-00000F750000}"/>
    <cellStyle name="Total 2 8 5 2 3 2 2" xfId="18080" xr:uid="{00000000-0005-0000-0000-000010750000}"/>
    <cellStyle name="Total 2 8 5 2 3 2 2 2" xfId="32912" xr:uid="{00000000-0005-0000-0000-000011750000}"/>
    <cellStyle name="Total 2 8 5 2 3 2 3" xfId="19633" xr:uid="{00000000-0005-0000-0000-000012750000}"/>
    <cellStyle name="Total 2 8 5 2 3 3" xfId="15433" xr:uid="{00000000-0005-0000-0000-000013750000}"/>
    <cellStyle name="Total 2 8 5 2 3 3 2" xfId="30265" xr:uid="{00000000-0005-0000-0000-000014750000}"/>
    <cellStyle name="Total 2 8 5 2 3 4" xfId="11679" xr:uid="{00000000-0005-0000-0000-000015750000}"/>
    <cellStyle name="Total 2 8 5 2 3 4 2" xfId="26511" xr:uid="{00000000-0005-0000-0000-000016750000}"/>
    <cellStyle name="Total 2 8 5 2 4" xfId="3103" xr:uid="{00000000-0005-0000-0000-000017750000}"/>
    <cellStyle name="Total 2 8 5 2 4 2" xfId="7173" xr:uid="{00000000-0005-0000-0000-000018750000}"/>
    <cellStyle name="Total 2 8 5 2 4 2 2" xfId="16970" xr:uid="{00000000-0005-0000-0000-000019750000}"/>
    <cellStyle name="Total 2 8 5 2 4 2 2 2" xfId="31802" xr:uid="{00000000-0005-0000-0000-00001A750000}"/>
    <cellStyle name="Total 2 8 5 2 4 2 3" xfId="18927" xr:uid="{00000000-0005-0000-0000-00001B750000}"/>
    <cellStyle name="Total 2 8 5 2 4 3" xfId="13441" xr:uid="{00000000-0005-0000-0000-00001C750000}"/>
    <cellStyle name="Total 2 8 5 2 4 3 2" xfId="28273" xr:uid="{00000000-0005-0000-0000-00001D750000}"/>
    <cellStyle name="Total 2 8 5 2 4 4" xfId="10627" xr:uid="{00000000-0005-0000-0000-00001E750000}"/>
    <cellStyle name="Total 2 8 5 2 4 4 2" xfId="25459" xr:uid="{00000000-0005-0000-0000-00001F750000}"/>
    <cellStyle name="Total 2 8 5 2 5" xfId="6265" xr:uid="{00000000-0005-0000-0000-000020750000}"/>
    <cellStyle name="Total 2 8 5 2 5 2" xfId="16450" xr:uid="{00000000-0005-0000-0000-000021750000}"/>
    <cellStyle name="Total 2 8 5 2 5 2 2" xfId="31282" xr:uid="{00000000-0005-0000-0000-000022750000}"/>
    <cellStyle name="Total 2 8 5 2 5 3" xfId="18568" xr:uid="{00000000-0005-0000-0000-000023750000}"/>
    <cellStyle name="Total 2 8 5 2 6" xfId="12520" xr:uid="{00000000-0005-0000-0000-000024750000}"/>
    <cellStyle name="Total 2 8 5 2 6 2" xfId="27352" xr:uid="{00000000-0005-0000-0000-000025750000}"/>
    <cellStyle name="Total 2 8 5 2 7" xfId="10102" xr:uid="{00000000-0005-0000-0000-000026750000}"/>
    <cellStyle name="Total 2 8 5 2 7 2" xfId="24934" xr:uid="{00000000-0005-0000-0000-000027750000}"/>
    <cellStyle name="Total 2 8 5 3" xfId="3866" xr:uid="{00000000-0005-0000-0000-000028750000}"/>
    <cellStyle name="Total 2 8 5 3 2" xfId="7918" xr:uid="{00000000-0005-0000-0000-000029750000}"/>
    <cellStyle name="Total 2 8 5 3 2 2" xfId="17400" xr:uid="{00000000-0005-0000-0000-00002A750000}"/>
    <cellStyle name="Total 2 8 5 3 2 2 2" xfId="32232" xr:uid="{00000000-0005-0000-0000-00002B750000}"/>
    <cellStyle name="Total 2 8 5 3 2 3" xfId="19179" xr:uid="{00000000-0005-0000-0000-00002C750000}"/>
    <cellStyle name="Total 2 8 5 3 3" xfId="14201" xr:uid="{00000000-0005-0000-0000-00002D750000}"/>
    <cellStyle name="Total 2 8 5 3 3 2" xfId="29033" xr:uid="{00000000-0005-0000-0000-00002E750000}"/>
    <cellStyle name="Total 2 8 5 3 4" xfId="11019" xr:uid="{00000000-0005-0000-0000-00002F750000}"/>
    <cellStyle name="Total 2 8 5 3 4 2" xfId="25851" xr:uid="{00000000-0005-0000-0000-000030750000}"/>
    <cellStyle name="Total 2 8 5 4" xfId="4693" xr:uid="{00000000-0005-0000-0000-000031750000}"/>
    <cellStyle name="Total 2 8 5 4 2" xfId="8732" xr:uid="{00000000-0005-0000-0000-000032750000}"/>
    <cellStyle name="Total 2 8 5 4 2 2" xfId="17840" xr:uid="{00000000-0005-0000-0000-000033750000}"/>
    <cellStyle name="Total 2 8 5 4 2 2 2" xfId="32672" xr:uid="{00000000-0005-0000-0000-000034750000}"/>
    <cellStyle name="Total 2 8 5 4 2 3" xfId="19473" xr:uid="{00000000-0005-0000-0000-000035750000}"/>
    <cellStyle name="Total 2 8 5 4 3" xfId="15018" xr:uid="{00000000-0005-0000-0000-000036750000}"/>
    <cellStyle name="Total 2 8 5 4 3 2" xfId="29850" xr:uid="{00000000-0005-0000-0000-000037750000}"/>
    <cellStyle name="Total 2 8 5 4 4" xfId="11444" xr:uid="{00000000-0005-0000-0000-000038750000}"/>
    <cellStyle name="Total 2 8 5 4 4 2" xfId="26276" xr:uid="{00000000-0005-0000-0000-000039750000}"/>
    <cellStyle name="Total 2 8 5 5" xfId="2683" xr:uid="{00000000-0005-0000-0000-00003A750000}"/>
    <cellStyle name="Total 2 8 5 5 2" xfId="6779" xr:uid="{00000000-0005-0000-0000-00003B750000}"/>
    <cellStyle name="Total 2 8 5 5 2 2" xfId="16735" xr:uid="{00000000-0005-0000-0000-00003C750000}"/>
    <cellStyle name="Total 2 8 5 5 2 2 2" xfId="31567" xr:uid="{00000000-0005-0000-0000-00003D750000}"/>
    <cellStyle name="Total 2 8 5 5 2 3" xfId="18763" xr:uid="{00000000-0005-0000-0000-00003E750000}"/>
    <cellStyle name="Total 2 8 5 5 3" xfId="13021" xr:uid="{00000000-0005-0000-0000-00003F750000}"/>
    <cellStyle name="Total 2 8 5 5 3 2" xfId="27853" xr:uid="{00000000-0005-0000-0000-000040750000}"/>
    <cellStyle name="Total 2 8 5 5 4" xfId="10387" xr:uid="{00000000-0005-0000-0000-000041750000}"/>
    <cellStyle name="Total 2 8 5 5 4 2" xfId="25219" xr:uid="{00000000-0005-0000-0000-000042750000}"/>
    <cellStyle name="Total 2 8 5 6" xfId="5795" xr:uid="{00000000-0005-0000-0000-000043750000}"/>
    <cellStyle name="Total 2 8 5 6 2" xfId="16029" xr:uid="{00000000-0005-0000-0000-000044750000}"/>
    <cellStyle name="Total 2 8 5 6 2 2" xfId="30861" xr:uid="{00000000-0005-0000-0000-000045750000}"/>
    <cellStyle name="Total 2 8 5 6 3" xfId="18404" xr:uid="{00000000-0005-0000-0000-000046750000}"/>
    <cellStyle name="Total 2 8 5 7" xfId="12049" xr:uid="{00000000-0005-0000-0000-000047750000}"/>
    <cellStyle name="Total 2 8 5 7 2" xfId="26881" xr:uid="{00000000-0005-0000-0000-000048750000}"/>
    <cellStyle name="Total 2 8 5 8" xfId="9709" xr:uid="{00000000-0005-0000-0000-000049750000}"/>
    <cellStyle name="Total 2 8 5 8 2" xfId="20009" xr:uid="{00000000-0005-0000-0000-00004A750000}"/>
    <cellStyle name="Total 2 8 6" xfId="1799" xr:uid="{00000000-0005-0000-0000-00004B750000}"/>
    <cellStyle name="Total 2 8 6 2" xfId="4071" xr:uid="{00000000-0005-0000-0000-00004C750000}"/>
    <cellStyle name="Total 2 8 6 2 2" xfId="8118" xr:uid="{00000000-0005-0000-0000-00004D750000}"/>
    <cellStyle name="Total 2 8 6 2 2 2" xfId="17506" xr:uid="{00000000-0005-0000-0000-00004E750000}"/>
    <cellStyle name="Total 2 8 6 2 2 2 2" xfId="32338" xr:uid="{00000000-0005-0000-0000-00004F750000}"/>
    <cellStyle name="Total 2 8 6 2 2 3" xfId="19258" xr:uid="{00000000-0005-0000-0000-000050750000}"/>
    <cellStyle name="Total 2 8 6 2 3" xfId="14403" xr:uid="{00000000-0005-0000-0000-000051750000}"/>
    <cellStyle name="Total 2 8 6 2 3 2" xfId="29235" xr:uid="{00000000-0005-0000-0000-000052750000}"/>
    <cellStyle name="Total 2 8 6 2 4" xfId="11122" xr:uid="{00000000-0005-0000-0000-000053750000}"/>
    <cellStyle name="Total 2 8 6 2 4 2" xfId="25954" xr:uid="{00000000-0005-0000-0000-000054750000}"/>
    <cellStyle name="Total 2 8 6 3" xfId="4777" xr:uid="{00000000-0005-0000-0000-000055750000}"/>
    <cellStyle name="Total 2 8 6 3 2" xfId="8816" xr:uid="{00000000-0005-0000-0000-000056750000}"/>
    <cellStyle name="Total 2 8 6 3 2 2" xfId="17888" xr:uid="{00000000-0005-0000-0000-000057750000}"/>
    <cellStyle name="Total 2 8 6 3 2 2 2" xfId="32720" xr:uid="{00000000-0005-0000-0000-000058750000}"/>
    <cellStyle name="Total 2 8 6 3 2 3" xfId="19505" xr:uid="{00000000-0005-0000-0000-000059750000}"/>
    <cellStyle name="Total 2 8 6 3 3" xfId="15101" xr:uid="{00000000-0005-0000-0000-00005A750000}"/>
    <cellStyle name="Total 2 8 6 3 3 2" xfId="29933" xr:uid="{00000000-0005-0000-0000-00005B750000}"/>
    <cellStyle name="Total 2 8 6 3 4" xfId="11491" xr:uid="{00000000-0005-0000-0000-00005C750000}"/>
    <cellStyle name="Total 2 8 6 3 4 2" xfId="26323" xr:uid="{00000000-0005-0000-0000-00005D750000}"/>
    <cellStyle name="Total 2 8 6 4" xfId="2767" xr:uid="{00000000-0005-0000-0000-00005E750000}"/>
    <cellStyle name="Total 2 8 6 4 2" xfId="6858" xr:uid="{00000000-0005-0000-0000-00005F750000}"/>
    <cellStyle name="Total 2 8 6 4 2 2" xfId="16782" xr:uid="{00000000-0005-0000-0000-000060750000}"/>
    <cellStyle name="Total 2 8 6 4 2 2 2" xfId="31614" xr:uid="{00000000-0005-0000-0000-000061750000}"/>
    <cellStyle name="Total 2 8 6 4 2 3" xfId="18796" xr:uid="{00000000-0005-0000-0000-000062750000}"/>
    <cellStyle name="Total 2 8 6 4 3" xfId="13105" xr:uid="{00000000-0005-0000-0000-000063750000}"/>
    <cellStyle name="Total 2 8 6 4 3 2" xfId="27937" xr:uid="{00000000-0005-0000-0000-000064750000}"/>
    <cellStyle name="Total 2 8 6 4 4" xfId="10435" xr:uid="{00000000-0005-0000-0000-000065750000}"/>
    <cellStyle name="Total 2 8 6 4 4 2" xfId="25267" xr:uid="{00000000-0005-0000-0000-000066750000}"/>
    <cellStyle name="Total 2 8 6 5" xfId="5931" xr:uid="{00000000-0005-0000-0000-000067750000}"/>
    <cellStyle name="Total 2 8 6 5 2" xfId="16123" xr:uid="{00000000-0005-0000-0000-000068750000}"/>
    <cellStyle name="Total 2 8 6 5 2 2" xfId="30955" xr:uid="{00000000-0005-0000-0000-000069750000}"/>
    <cellStyle name="Total 2 8 6 5 3" xfId="18438" xr:uid="{00000000-0005-0000-0000-00006A750000}"/>
    <cellStyle name="Total 2 8 6 6" xfId="12193" xr:uid="{00000000-0005-0000-0000-00006B750000}"/>
    <cellStyle name="Total 2 8 6 6 2" xfId="27025" xr:uid="{00000000-0005-0000-0000-00006C750000}"/>
    <cellStyle name="Total 2 8 6 7" xfId="9789" xr:uid="{00000000-0005-0000-0000-00006D750000}"/>
    <cellStyle name="Total 2 8 6 7 2" xfId="24746" xr:uid="{00000000-0005-0000-0000-00006E750000}"/>
    <cellStyle name="Total 2 8 7" xfId="2167" xr:uid="{00000000-0005-0000-0000-00006F750000}"/>
    <cellStyle name="Total 2 8 7 2" xfId="3288" xr:uid="{00000000-0005-0000-0000-000070750000}"/>
    <cellStyle name="Total 2 8 7 2 2" xfId="7352" xr:uid="{00000000-0005-0000-0000-000071750000}"/>
    <cellStyle name="Total 2 8 7 2 2 2" xfId="17094" xr:uid="{00000000-0005-0000-0000-000072750000}"/>
    <cellStyle name="Total 2 8 7 2 2 2 2" xfId="31926" xr:uid="{00000000-0005-0000-0000-000073750000}"/>
    <cellStyle name="Total 2 8 7 2 2 3" xfId="18984" xr:uid="{00000000-0005-0000-0000-000074750000}"/>
    <cellStyle name="Total 2 8 7 2 3" xfId="13625" xr:uid="{00000000-0005-0000-0000-000075750000}"/>
    <cellStyle name="Total 2 8 7 2 3 2" xfId="28457" xr:uid="{00000000-0005-0000-0000-000076750000}"/>
    <cellStyle name="Total 2 8 7 2 4" xfId="10720" xr:uid="{00000000-0005-0000-0000-000077750000}"/>
    <cellStyle name="Total 2 8 7 2 4 2" xfId="25552" xr:uid="{00000000-0005-0000-0000-000078750000}"/>
    <cellStyle name="Total 2 8 7 3" xfId="5135" xr:uid="{00000000-0005-0000-0000-000079750000}"/>
    <cellStyle name="Total 2 8 7 3 2" xfId="9174" xr:uid="{00000000-0005-0000-0000-00007A750000}"/>
    <cellStyle name="Total 2 8 7 3 2 2" xfId="18097" xr:uid="{00000000-0005-0000-0000-00007B750000}"/>
    <cellStyle name="Total 2 8 7 3 2 2 2" xfId="32929" xr:uid="{00000000-0005-0000-0000-00007C750000}"/>
    <cellStyle name="Total 2 8 7 3 2 3" xfId="19648" xr:uid="{00000000-0005-0000-0000-00007D750000}"/>
    <cellStyle name="Total 2 8 7 3 3" xfId="15453" xr:uid="{00000000-0005-0000-0000-00007E750000}"/>
    <cellStyle name="Total 2 8 7 3 3 2" xfId="30285" xr:uid="{00000000-0005-0000-0000-00007F750000}"/>
    <cellStyle name="Total 2 8 7 3 4" xfId="11694" xr:uid="{00000000-0005-0000-0000-000080750000}"/>
    <cellStyle name="Total 2 8 7 3 4 2" xfId="26526" xr:uid="{00000000-0005-0000-0000-000081750000}"/>
    <cellStyle name="Total 2 8 7 4" xfId="4165" xr:uid="{00000000-0005-0000-0000-000082750000}"/>
    <cellStyle name="Total 2 8 7 4 2" xfId="8206" xr:uid="{00000000-0005-0000-0000-000083750000}"/>
    <cellStyle name="Total 2 8 7 4 2 2" xfId="17553" xr:uid="{00000000-0005-0000-0000-000084750000}"/>
    <cellStyle name="Total 2 8 7 4 2 2 2" xfId="32385" xr:uid="{00000000-0005-0000-0000-000085750000}"/>
    <cellStyle name="Total 2 8 7 4 2 3" xfId="19291" xr:uid="{00000000-0005-0000-0000-000086750000}"/>
    <cellStyle name="Total 2 8 7 4 3" xfId="14497" xr:uid="{00000000-0005-0000-0000-000087750000}"/>
    <cellStyle name="Total 2 8 7 4 3 2" xfId="29329" xr:uid="{00000000-0005-0000-0000-000088750000}"/>
    <cellStyle name="Total 2 8 7 4 4" xfId="11173" xr:uid="{00000000-0005-0000-0000-000089750000}"/>
    <cellStyle name="Total 2 8 7 4 4 2" xfId="26005" xr:uid="{00000000-0005-0000-0000-00008A750000}"/>
    <cellStyle name="Total 2 8 7 5" xfId="6281" xr:uid="{00000000-0005-0000-0000-00008B750000}"/>
    <cellStyle name="Total 2 8 7 5 2" xfId="16465" xr:uid="{00000000-0005-0000-0000-00008C750000}"/>
    <cellStyle name="Total 2 8 7 5 2 2" xfId="31297" xr:uid="{00000000-0005-0000-0000-00008D750000}"/>
    <cellStyle name="Total 2 8 7 5 3" xfId="18584" xr:uid="{00000000-0005-0000-0000-00008E750000}"/>
    <cellStyle name="Total 2 8 7 6" xfId="12535" xr:uid="{00000000-0005-0000-0000-00008F750000}"/>
    <cellStyle name="Total 2 8 7 6 2" xfId="27367" xr:uid="{00000000-0005-0000-0000-000090750000}"/>
    <cellStyle name="Total 2 8 7 7" xfId="10117" xr:uid="{00000000-0005-0000-0000-000091750000}"/>
    <cellStyle name="Total 2 8 7 7 2" xfId="24949" xr:uid="{00000000-0005-0000-0000-000092750000}"/>
    <cellStyle name="Total 2 8 8" xfId="3279" xr:uid="{00000000-0005-0000-0000-000093750000}"/>
    <cellStyle name="Total 2 8 8 2" xfId="7343" xr:uid="{00000000-0005-0000-0000-000094750000}"/>
    <cellStyle name="Total 2 8 8 2 2" xfId="17087" xr:uid="{00000000-0005-0000-0000-000095750000}"/>
    <cellStyle name="Total 2 8 8 2 2 2" xfId="31919" xr:uid="{00000000-0005-0000-0000-000096750000}"/>
    <cellStyle name="Total 2 8 8 2 3" xfId="18981" xr:uid="{00000000-0005-0000-0000-000097750000}"/>
    <cellStyle name="Total 2 8 8 3" xfId="13616" xr:uid="{00000000-0005-0000-0000-000098750000}"/>
    <cellStyle name="Total 2 8 8 3 2" xfId="28448" xr:uid="{00000000-0005-0000-0000-000099750000}"/>
    <cellStyle name="Total 2 8 8 4" xfId="10714" xr:uid="{00000000-0005-0000-0000-00009A750000}"/>
    <cellStyle name="Total 2 8 8 4 2" xfId="25546" xr:uid="{00000000-0005-0000-0000-00009B750000}"/>
    <cellStyle name="Total 2 8 9" xfId="3191" xr:uid="{00000000-0005-0000-0000-00009C750000}"/>
    <cellStyle name="Total 2 8 9 2" xfId="7255" xr:uid="{00000000-0005-0000-0000-00009D750000}"/>
    <cellStyle name="Total 2 8 9 2 2" xfId="17025" xr:uid="{00000000-0005-0000-0000-00009E750000}"/>
    <cellStyle name="Total 2 8 9 2 2 2" xfId="31857" xr:uid="{00000000-0005-0000-0000-00009F750000}"/>
    <cellStyle name="Total 2 8 9 2 3" xfId="18957" xr:uid="{00000000-0005-0000-0000-0000A0750000}"/>
    <cellStyle name="Total 2 8 9 3" xfId="13529" xr:uid="{00000000-0005-0000-0000-0000A1750000}"/>
    <cellStyle name="Total 2 8 9 3 2" xfId="28361" xr:uid="{00000000-0005-0000-0000-0000A2750000}"/>
    <cellStyle name="Total 2 8 9 4" xfId="10671" xr:uid="{00000000-0005-0000-0000-0000A3750000}"/>
    <cellStyle name="Total 2 8 9 4 2" xfId="25503" xr:uid="{00000000-0005-0000-0000-0000A4750000}"/>
    <cellStyle name="Total 2 9" xfId="1366" xr:uid="{00000000-0005-0000-0000-0000A5750000}"/>
    <cellStyle name="Total 2 9 2" xfId="1870" xr:uid="{00000000-0005-0000-0000-0000A6750000}"/>
    <cellStyle name="Total 2 9 2 2" xfId="4138" xr:uid="{00000000-0005-0000-0000-0000A7750000}"/>
    <cellStyle name="Total 2 9 2 2 2" xfId="8182" xr:uid="{00000000-0005-0000-0000-0000A8750000}"/>
    <cellStyle name="Total 2 9 2 2 2 2" xfId="17539" xr:uid="{00000000-0005-0000-0000-0000A9750000}"/>
    <cellStyle name="Total 2 9 2 2 2 2 2" xfId="32371" xr:uid="{00000000-0005-0000-0000-0000AA750000}"/>
    <cellStyle name="Total 2 9 2 2 2 3" xfId="19281" xr:uid="{00000000-0005-0000-0000-0000AB750000}"/>
    <cellStyle name="Total 2 9 2 2 3" xfId="14470" xr:uid="{00000000-0005-0000-0000-0000AC750000}"/>
    <cellStyle name="Total 2 9 2 2 3 2" xfId="29302" xr:uid="{00000000-0005-0000-0000-0000AD750000}"/>
    <cellStyle name="Total 2 9 2 2 4" xfId="11157" xr:uid="{00000000-0005-0000-0000-0000AE750000}"/>
    <cellStyle name="Total 2 9 2 2 4 2" xfId="25989" xr:uid="{00000000-0005-0000-0000-0000AF750000}"/>
    <cellStyle name="Total 2 9 2 3" xfId="4848" xr:uid="{00000000-0005-0000-0000-0000B0750000}"/>
    <cellStyle name="Total 2 9 2 3 2" xfId="8887" xr:uid="{00000000-0005-0000-0000-0000B1750000}"/>
    <cellStyle name="Total 2 9 2 3 2 2" xfId="17928" xr:uid="{00000000-0005-0000-0000-0000B2750000}"/>
    <cellStyle name="Total 2 9 2 3 2 2 2" xfId="32760" xr:uid="{00000000-0005-0000-0000-0000B3750000}"/>
    <cellStyle name="Total 2 9 2 3 2 3" xfId="19530" xr:uid="{00000000-0005-0000-0000-0000B4750000}"/>
    <cellStyle name="Total 2 9 2 3 3" xfId="15172" xr:uid="{00000000-0005-0000-0000-0000B5750000}"/>
    <cellStyle name="Total 2 9 2 3 3 2" xfId="30004" xr:uid="{00000000-0005-0000-0000-0000B6750000}"/>
    <cellStyle name="Total 2 9 2 3 4" xfId="11531" xr:uid="{00000000-0005-0000-0000-0000B7750000}"/>
    <cellStyle name="Total 2 9 2 3 4 2" xfId="26363" xr:uid="{00000000-0005-0000-0000-0000B8750000}"/>
    <cellStyle name="Total 2 9 2 4" xfId="2838" xr:uid="{00000000-0005-0000-0000-0000B9750000}"/>
    <cellStyle name="Total 2 9 2 4 2" xfId="6929" xr:uid="{00000000-0005-0000-0000-0000BA750000}"/>
    <cellStyle name="Total 2 9 2 4 2 2" xfId="16822" xr:uid="{00000000-0005-0000-0000-0000BB750000}"/>
    <cellStyle name="Total 2 9 2 4 2 2 2" xfId="31654" xr:uid="{00000000-0005-0000-0000-0000BC750000}"/>
    <cellStyle name="Total 2 9 2 4 2 3" xfId="18821" xr:uid="{00000000-0005-0000-0000-0000BD750000}"/>
    <cellStyle name="Total 2 9 2 4 3" xfId="13176" xr:uid="{00000000-0005-0000-0000-0000BE750000}"/>
    <cellStyle name="Total 2 9 2 4 3 2" xfId="28008" xr:uid="{00000000-0005-0000-0000-0000BF750000}"/>
    <cellStyle name="Total 2 9 2 4 4" xfId="10475" xr:uid="{00000000-0005-0000-0000-0000C0750000}"/>
    <cellStyle name="Total 2 9 2 4 4 2" xfId="25307" xr:uid="{00000000-0005-0000-0000-0000C1750000}"/>
    <cellStyle name="Total 2 9 2 5" xfId="6002" xr:uid="{00000000-0005-0000-0000-0000C2750000}"/>
    <cellStyle name="Total 2 9 2 5 2" xfId="16194" xr:uid="{00000000-0005-0000-0000-0000C3750000}"/>
    <cellStyle name="Total 2 9 2 5 2 2" xfId="31026" xr:uid="{00000000-0005-0000-0000-0000C4750000}"/>
    <cellStyle name="Total 2 9 2 5 3" xfId="18463" xr:uid="{00000000-0005-0000-0000-0000C5750000}"/>
    <cellStyle name="Total 2 9 2 6" xfId="12264" xr:uid="{00000000-0005-0000-0000-0000C6750000}"/>
    <cellStyle name="Total 2 9 2 6 2" xfId="27096" xr:uid="{00000000-0005-0000-0000-0000C7750000}"/>
    <cellStyle name="Total 2 9 2 7" xfId="9860" xr:uid="{00000000-0005-0000-0000-0000C8750000}"/>
    <cellStyle name="Total 2 9 2 7 2" xfId="24786" xr:uid="{00000000-0005-0000-0000-0000C9750000}"/>
    <cellStyle name="Total 2 9 3" xfId="3824" xr:uid="{00000000-0005-0000-0000-0000CA750000}"/>
    <cellStyle name="Total 2 9 3 2" xfId="7877" xr:uid="{00000000-0005-0000-0000-0000CB750000}"/>
    <cellStyle name="Total 2 9 3 2 2" xfId="17382" xr:uid="{00000000-0005-0000-0000-0000CC750000}"/>
    <cellStyle name="Total 2 9 3 2 2 2" xfId="32214" xr:uid="{00000000-0005-0000-0000-0000CD750000}"/>
    <cellStyle name="Total 2 9 3 2 3" xfId="19166" xr:uid="{00000000-0005-0000-0000-0000CE750000}"/>
    <cellStyle name="Total 2 9 3 3" xfId="14159" xr:uid="{00000000-0005-0000-0000-0000CF750000}"/>
    <cellStyle name="Total 2 9 3 3 2" xfId="28991" xr:uid="{00000000-0005-0000-0000-0000D0750000}"/>
    <cellStyle name="Total 2 9 3 4" xfId="11001" xr:uid="{00000000-0005-0000-0000-0000D1750000}"/>
    <cellStyle name="Total 2 9 3 4 2" xfId="25833" xr:uid="{00000000-0005-0000-0000-0000D2750000}"/>
    <cellStyle name="Total 2 9 4" xfId="4428" xr:uid="{00000000-0005-0000-0000-0000D3750000}"/>
    <cellStyle name="Total 2 9 4 2" xfId="8467" xr:uid="{00000000-0005-0000-0000-0000D4750000}"/>
    <cellStyle name="Total 2 9 4 2 2" xfId="17688" xr:uid="{00000000-0005-0000-0000-0000D5750000}"/>
    <cellStyle name="Total 2 9 4 2 2 2" xfId="32520" xr:uid="{00000000-0005-0000-0000-0000D6750000}"/>
    <cellStyle name="Total 2 9 4 2 3" xfId="19370" xr:uid="{00000000-0005-0000-0000-0000D7750000}"/>
    <cellStyle name="Total 2 9 4 3" xfId="14757" xr:uid="{00000000-0005-0000-0000-0000D8750000}"/>
    <cellStyle name="Total 2 9 4 3 2" xfId="29589" xr:uid="{00000000-0005-0000-0000-0000D9750000}"/>
    <cellStyle name="Total 2 9 4 4" xfId="11296" xr:uid="{00000000-0005-0000-0000-0000DA750000}"/>
    <cellStyle name="Total 2 9 4 4 2" xfId="26128" xr:uid="{00000000-0005-0000-0000-0000DB750000}"/>
    <cellStyle name="Total 2 9 5" xfId="2418" xr:uid="{00000000-0005-0000-0000-0000DC750000}"/>
    <cellStyle name="Total 2 9 5 2" xfId="6530" xr:uid="{00000000-0005-0000-0000-0000DD750000}"/>
    <cellStyle name="Total 2 9 5 2 2" xfId="16586" xr:uid="{00000000-0005-0000-0000-0000DE750000}"/>
    <cellStyle name="Total 2 9 5 2 2 2" xfId="31418" xr:uid="{00000000-0005-0000-0000-0000DF750000}"/>
    <cellStyle name="Total 2 9 5 2 3" xfId="18658" xr:uid="{00000000-0005-0000-0000-0000E0750000}"/>
    <cellStyle name="Total 2 9 5 3" xfId="12757" xr:uid="{00000000-0005-0000-0000-0000E1750000}"/>
    <cellStyle name="Total 2 9 5 3 2" xfId="27589" xr:uid="{00000000-0005-0000-0000-0000E2750000}"/>
    <cellStyle name="Total 2 9 5 4" xfId="10236" xr:uid="{00000000-0005-0000-0000-0000E3750000}"/>
    <cellStyle name="Total 2 9 5 4 2" xfId="25068" xr:uid="{00000000-0005-0000-0000-0000E4750000}"/>
    <cellStyle name="Total 2 9 6" xfId="5543" xr:uid="{00000000-0005-0000-0000-0000E5750000}"/>
    <cellStyle name="Total 2 9 6 2" xfId="15778" xr:uid="{00000000-0005-0000-0000-0000E6750000}"/>
    <cellStyle name="Total 2 9 6 2 2" xfId="30610" xr:uid="{00000000-0005-0000-0000-0000E7750000}"/>
    <cellStyle name="Total 2 9 6 3" xfId="18300" xr:uid="{00000000-0005-0000-0000-0000E8750000}"/>
    <cellStyle name="Total 2 9 7" xfId="11793" xr:uid="{00000000-0005-0000-0000-0000E9750000}"/>
    <cellStyle name="Total 2 9 7 2" xfId="26625" xr:uid="{00000000-0005-0000-0000-0000EA750000}"/>
    <cellStyle name="Total 2 9 8" xfId="9464" xr:uid="{00000000-0005-0000-0000-0000EB750000}"/>
    <cellStyle name="Total 2 9 8 2" xfId="19768" xr:uid="{00000000-0005-0000-0000-0000EC750000}"/>
    <cellStyle name="Total 3" xfId="1275" xr:uid="{00000000-0005-0000-0000-0000ED750000}"/>
    <cellStyle name="Total 3 10" xfId="2342" xr:uid="{00000000-0005-0000-0000-0000EE750000}"/>
    <cellStyle name="Total 3 10 2" xfId="6454" xr:uid="{00000000-0005-0000-0000-0000EF750000}"/>
    <cellStyle name="Total 3 10 2 2" xfId="16546" xr:uid="{00000000-0005-0000-0000-0000F0750000}"/>
    <cellStyle name="Total 3 10 2 2 2" xfId="31378" xr:uid="{00000000-0005-0000-0000-0000F1750000}"/>
    <cellStyle name="Total 3 10 2 3" xfId="18634" xr:uid="{00000000-0005-0000-0000-0000F2750000}"/>
    <cellStyle name="Total 3 10 3" xfId="12682" xr:uid="{00000000-0005-0000-0000-0000F3750000}"/>
    <cellStyle name="Total 3 10 3 2" xfId="27514" xr:uid="{00000000-0005-0000-0000-0000F4750000}"/>
    <cellStyle name="Total 3 10 4" xfId="10197" xr:uid="{00000000-0005-0000-0000-0000F5750000}"/>
    <cellStyle name="Total 3 10 4 2" xfId="25029" xr:uid="{00000000-0005-0000-0000-0000F6750000}"/>
    <cellStyle name="Total 3 11" xfId="5304" xr:uid="{00000000-0005-0000-0000-0000F7750000}"/>
    <cellStyle name="Total 3 11 2" xfId="9312" xr:uid="{00000000-0005-0000-0000-0000F8750000}"/>
    <cellStyle name="Total 3 11 2 2" xfId="18179" xr:uid="{00000000-0005-0000-0000-0000F9750000}"/>
    <cellStyle name="Total 3 11 2 2 2" xfId="33011" xr:uid="{00000000-0005-0000-0000-0000FA750000}"/>
    <cellStyle name="Total 3 11 2 3" xfId="19698" xr:uid="{00000000-0005-0000-0000-0000FB750000}"/>
    <cellStyle name="Total 3 11 3" xfId="15620" xr:uid="{00000000-0005-0000-0000-0000FC750000}"/>
    <cellStyle name="Total 3 11 3 2" xfId="30452" xr:uid="{00000000-0005-0000-0000-0000FD750000}"/>
    <cellStyle name="Total 3 12" xfId="5462" xr:uid="{00000000-0005-0000-0000-0000FE750000}"/>
    <cellStyle name="Total 3 12 2" xfId="15698" xr:uid="{00000000-0005-0000-0000-0000FF750000}"/>
    <cellStyle name="Total 3 12 2 2" xfId="30530" xr:uid="{00000000-0005-0000-0000-000000760000}"/>
    <cellStyle name="Total 3 12 3" xfId="18275" xr:uid="{00000000-0005-0000-0000-000001760000}"/>
    <cellStyle name="Total 3 13" xfId="9329" xr:uid="{00000000-0005-0000-0000-000002760000}"/>
    <cellStyle name="Total 3 13 2" xfId="24635" xr:uid="{00000000-0005-0000-0000-000003760000}"/>
    <cellStyle name="Total 3 14" xfId="5318" xr:uid="{00000000-0005-0000-0000-000004760000}"/>
    <cellStyle name="Total 3 14 2" xfId="18192" xr:uid="{00000000-0005-0000-0000-000005760000}"/>
    <cellStyle name="Total 3 2" xfId="1374" xr:uid="{00000000-0005-0000-0000-000006760000}"/>
    <cellStyle name="Total 3 2 2" xfId="1878" xr:uid="{00000000-0005-0000-0000-000007760000}"/>
    <cellStyle name="Total 3 2 2 2" xfId="3627" xr:uid="{00000000-0005-0000-0000-000008760000}"/>
    <cellStyle name="Total 3 2 2 2 2" xfId="7686" xr:uid="{00000000-0005-0000-0000-000009760000}"/>
    <cellStyle name="Total 3 2 2 2 2 2" xfId="17287" xr:uid="{00000000-0005-0000-0000-00000A760000}"/>
    <cellStyle name="Total 3 2 2 2 2 2 2" xfId="32119" xr:uid="{00000000-0005-0000-0000-00000B760000}"/>
    <cellStyle name="Total 3 2 2 2 2 3" xfId="19102" xr:uid="{00000000-0005-0000-0000-00000C760000}"/>
    <cellStyle name="Total 3 2 2 2 3" xfId="13962" xr:uid="{00000000-0005-0000-0000-00000D760000}"/>
    <cellStyle name="Total 3 2 2 2 3 2" xfId="28794" xr:uid="{00000000-0005-0000-0000-00000E760000}"/>
    <cellStyle name="Total 3 2 2 2 4" xfId="10903" xr:uid="{00000000-0005-0000-0000-00000F760000}"/>
    <cellStyle name="Total 3 2 2 2 4 2" xfId="25735" xr:uid="{00000000-0005-0000-0000-000010760000}"/>
    <cellStyle name="Total 3 2 2 3" xfId="4856" xr:uid="{00000000-0005-0000-0000-000011760000}"/>
    <cellStyle name="Total 3 2 2 3 2" xfId="8895" xr:uid="{00000000-0005-0000-0000-000012760000}"/>
    <cellStyle name="Total 3 2 2 3 2 2" xfId="17936" xr:uid="{00000000-0005-0000-0000-000013760000}"/>
    <cellStyle name="Total 3 2 2 3 2 2 2" xfId="32768" xr:uid="{00000000-0005-0000-0000-000014760000}"/>
    <cellStyle name="Total 3 2 2 3 2 3" xfId="19538" xr:uid="{00000000-0005-0000-0000-000015760000}"/>
    <cellStyle name="Total 3 2 2 3 3" xfId="15180" xr:uid="{00000000-0005-0000-0000-000016760000}"/>
    <cellStyle name="Total 3 2 2 3 3 2" xfId="30012" xr:uid="{00000000-0005-0000-0000-000017760000}"/>
    <cellStyle name="Total 3 2 2 3 4" xfId="11539" xr:uid="{00000000-0005-0000-0000-000018760000}"/>
    <cellStyle name="Total 3 2 2 3 4 2" xfId="26371" xr:uid="{00000000-0005-0000-0000-000019760000}"/>
    <cellStyle name="Total 3 2 2 4" xfId="2846" xr:uid="{00000000-0005-0000-0000-00001A760000}"/>
    <cellStyle name="Total 3 2 2 4 2" xfId="6937" xr:uid="{00000000-0005-0000-0000-00001B760000}"/>
    <cellStyle name="Total 3 2 2 4 2 2" xfId="16830" xr:uid="{00000000-0005-0000-0000-00001C760000}"/>
    <cellStyle name="Total 3 2 2 4 2 2 2" xfId="31662" xr:uid="{00000000-0005-0000-0000-00001D760000}"/>
    <cellStyle name="Total 3 2 2 4 2 3" xfId="18829" xr:uid="{00000000-0005-0000-0000-00001E760000}"/>
    <cellStyle name="Total 3 2 2 4 3" xfId="13184" xr:uid="{00000000-0005-0000-0000-00001F760000}"/>
    <cellStyle name="Total 3 2 2 4 3 2" xfId="28016" xr:uid="{00000000-0005-0000-0000-000020760000}"/>
    <cellStyle name="Total 3 2 2 4 4" xfId="10483" xr:uid="{00000000-0005-0000-0000-000021760000}"/>
    <cellStyle name="Total 3 2 2 4 4 2" xfId="25315" xr:uid="{00000000-0005-0000-0000-000022760000}"/>
    <cellStyle name="Total 3 2 2 5" xfId="6010" xr:uid="{00000000-0005-0000-0000-000023760000}"/>
    <cellStyle name="Total 3 2 2 5 2" xfId="16202" xr:uid="{00000000-0005-0000-0000-000024760000}"/>
    <cellStyle name="Total 3 2 2 5 2 2" xfId="31034" xr:uid="{00000000-0005-0000-0000-000025760000}"/>
    <cellStyle name="Total 3 2 2 5 3" xfId="18471" xr:uid="{00000000-0005-0000-0000-000026760000}"/>
    <cellStyle name="Total 3 2 2 6" xfId="12272" xr:uid="{00000000-0005-0000-0000-000027760000}"/>
    <cellStyle name="Total 3 2 2 6 2" xfId="27104" xr:uid="{00000000-0005-0000-0000-000028760000}"/>
    <cellStyle name="Total 3 2 2 7" xfId="9868" xr:uid="{00000000-0005-0000-0000-000029760000}"/>
    <cellStyle name="Total 3 2 2 7 2" xfId="24794" xr:uid="{00000000-0005-0000-0000-00002A760000}"/>
    <cellStyle name="Total 3 2 3" xfId="3812" xr:uid="{00000000-0005-0000-0000-00002B760000}"/>
    <cellStyle name="Total 3 2 3 2" xfId="7866" xr:uid="{00000000-0005-0000-0000-00002C760000}"/>
    <cellStyle name="Total 3 2 3 2 2" xfId="17379" xr:uid="{00000000-0005-0000-0000-00002D760000}"/>
    <cellStyle name="Total 3 2 3 2 2 2" xfId="32211" xr:uid="{00000000-0005-0000-0000-00002E760000}"/>
    <cellStyle name="Total 3 2 3 2 3" xfId="19163" xr:uid="{00000000-0005-0000-0000-00002F760000}"/>
    <cellStyle name="Total 3 2 3 3" xfId="14147" xr:uid="{00000000-0005-0000-0000-000030760000}"/>
    <cellStyle name="Total 3 2 3 3 2" xfId="28979" xr:uid="{00000000-0005-0000-0000-000031760000}"/>
    <cellStyle name="Total 3 2 3 4" xfId="10997" xr:uid="{00000000-0005-0000-0000-000032760000}"/>
    <cellStyle name="Total 3 2 3 4 2" xfId="25829" xr:uid="{00000000-0005-0000-0000-000033760000}"/>
    <cellStyle name="Total 3 2 4" xfId="4436" xr:uid="{00000000-0005-0000-0000-000034760000}"/>
    <cellStyle name="Total 3 2 4 2" xfId="8475" xr:uid="{00000000-0005-0000-0000-000035760000}"/>
    <cellStyle name="Total 3 2 4 2 2" xfId="17696" xr:uid="{00000000-0005-0000-0000-000036760000}"/>
    <cellStyle name="Total 3 2 4 2 2 2" xfId="32528" xr:uid="{00000000-0005-0000-0000-000037760000}"/>
    <cellStyle name="Total 3 2 4 2 3" xfId="19378" xr:uid="{00000000-0005-0000-0000-000038760000}"/>
    <cellStyle name="Total 3 2 4 3" xfId="14765" xr:uid="{00000000-0005-0000-0000-000039760000}"/>
    <cellStyle name="Total 3 2 4 3 2" xfId="29597" xr:uid="{00000000-0005-0000-0000-00003A760000}"/>
    <cellStyle name="Total 3 2 4 4" xfId="11304" xr:uid="{00000000-0005-0000-0000-00003B760000}"/>
    <cellStyle name="Total 3 2 4 4 2" xfId="26136" xr:uid="{00000000-0005-0000-0000-00003C760000}"/>
    <cellStyle name="Total 3 2 5" xfId="2426" xr:uid="{00000000-0005-0000-0000-00003D760000}"/>
    <cellStyle name="Total 3 2 5 2" xfId="6538" xr:uid="{00000000-0005-0000-0000-00003E760000}"/>
    <cellStyle name="Total 3 2 5 2 2" xfId="16594" xr:uid="{00000000-0005-0000-0000-00003F760000}"/>
    <cellStyle name="Total 3 2 5 2 2 2" xfId="31426" xr:uid="{00000000-0005-0000-0000-000040760000}"/>
    <cellStyle name="Total 3 2 5 2 3" xfId="18666" xr:uid="{00000000-0005-0000-0000-000041760000}"/>
    <cellStyle name="Total 3 2 5 3" xfId="12765" xr:uid="{00000000-0005-0000-0000-000042760000}"/>
    <cellStyle name="Total 3 2 5 3 2" xfId="27597" xr:uid="{00000000-0005-0000-0000-000043760000}"/>
    <cellStyle name="Total 3 2 5 4" xfId="10244" xr:uid="{00000000-0005-0000-0000-000044760000}"/>
    <cellStyle name="Total 3 2 5 4 2" xfId="25076" xr:uid="{00000000-0005-0000-0000-000045760000}"/>
    <cellStyle name="Total 3 2 6" xfId="5551" xr:uid="{00000000-0005-0000-0000-000046760000}"/>
    <cellStyle name="Total 3 2 6 2" xfId="15786" xr:uid="{00000000-0005-0000-0000-000047760000}"/>
    <cellStyle name="Total 3 2 6 2 2" xfId="30618" xr:uid="{00000000-0005-0000-0000-000048760000}"/>
    <cellStyle name="Total 3 2 6 3" xfId="18308" xr:uid="{00000000-0005-0000-0000-000049760000}"/>
    <cellStyle name="Total 3 2 7" xfId="11801" xr:uid="{00000000-0005-0000-0000-00004A760000}"/>
    <cellStyle name="Total 3 2 7 2" xfId="26633" xr:uid="{00000000-0005-0000-0000-00004B760000}"/>
    <cellStyle name="Total 3 2 8" xfId="9472" xr:uid="{00000000-0005-0000-0000-00004C760000}"/>
    <cellStyle name="Total 3 2 8 2" xfId="19776" xr:uid="{00000000-0005-0000-0000-00004D760000}"/>
    <cellStyle name="Total 3 3" xfId="1546" xr:uid="{00000000-0005-0000-0000-00004E760000}"/>
    <cellStyle name="Total 3 3 2" xfId="2043" xr:uid="{00000000-0005-0000-0000-00004F760000}"/>
    <cellStyle name="Total 3 3 2 2" xfId="4094" xr:uid="{00000000-0005-0000-0000-000050760000}"/>
    <cellStyle name="Total 3 3 2 2 2" xfId="8140" xr:uid="{00000000-0005-0000-0000-000051760000}"/>
    <cellStyle name="Total 3 3 2 2 2 2" xfId="17514" xr:uid="{00000000-0005-0000-0000-000052760000}"/>
    <cellStyle name="Total 3 3 2 2 2 2 2" xfId="32346" xr:uid="{00000000-0005-0000-0000-000053760000}"/>
    <cellStyle name="Total 3 3 2 2 2 3" xfId="19264" xr:uid="{00000000-0005-0000-0000-000054760000}"/>
    <cellStyle name="Total 3 3 2 2 3" xfId="14426" xr:uid="{00000000-0005-0000-0000-000055760000}"/>
    <cellStyle name="Total 3 3 2 2 3 2" xfId="29258" xr:uid="{00000000-0005-0000-0000-000056760000}"/>
    <cellStyle name="Total 3 3 2 2 4" xfId="11131" xr:uid="{00000000-0005-0000-0000-000057760000}"/>
    <cellStyle name="Total 3 3 2 2 4 2" xfId="25963" xr:uid="{00000000-0005-0000-0000-000058760000}"/>
    <cellStyle name="Total 3 3 2 3" xfId="5011" xr:uid="{00000000-0005-0000-0000-000059760000}"/>
    <cellStyle name="Total 3 3 2 3 2" xfId="9050" xr:uid="{00000000-0005-0000-0000-00005A760000}"/>
    <cellStyle name="Total 3 3 2 3 2 2" xfId="17988" xr:uid="{00000000-0005-0000-0000-00005B760000}"/>
    <cellStyle name="Total 3 3 2 3 2 2 2" xfId="32820" xr:uid="{00000000-0005-0000-0000-00005C760000}"/>
    <cellStyle name="Total 3 3 2 3 2 3" xfId="19570" xr:uid="{00000000-0005-0000-0000-00005D760000}"/>
    <cellStyle name="Total 3 3 2 3 3" xfId="15333" xr:uid="{00000000-0005-0000-0000-00005E760000}"/>
    <cellStyle name="Total 3 3 2 3 3 2" xfId="30165" xr:uid="{00000000-0005-0000-0000-00005F760000}"/>
    <cellStyle name="Total 3 3 2 3 4" xfId="11589" xr:uid="{00000000-0005-0000-0000-000060760000}"/>
    <cellStyle name="Total 3 3 2 3 4 2" xfId="26421" xr:uid="{00000000-0005-0000-0000-000061760000}"/>
    <cellStyle name="Total 3 3 2 4" xfId="3001" xr:uid="{00000000-0005-0000-0000-000062760000}"/>
    <cellStyle name="Total 3 3 2 4 2" xfId="7081" xr:uid="{00000000-0005-0000-0000-000063760000}"/>
    <cellStyle name="Total 3 3 2 4 2 2" xfId="16880" xr:uid="{00000000-0005-0000-0000-000064760000}"/>
    <cellStyle name="Total 3 3 2 4 2 2 2" xfId="31712" xr:uid="{00000000-0005-0000-0000-000065760000}"/>
    <cellStyle name="Total 3 3 2 4 2 3" xfId="18862" xr:uid="{00000000-0005-0000-0000-000066760000}"/>
    <cellStyle name="Total 3 3 2 4 3" xfId="13339" xr:uid="{00000000-0005-0000-0000-000067760000}"/>
    <cellStyle name="Total 3 3 2 4 3 2" xfId="28171" xr:uid="{00000000-0005-0000-0000-000068760000}"/>
    <cellStyle name="Total 3 3 2 4 4" xfId="10535" xr:uid="{00000000-0005-0000-0000-000069760000}"/>
    <cellStyle name="Total 3 3 2 4 4 2" xfId="25367" xr:uid="{00000000-0005-0000-0000-00006A760000}"/>
    <cellStyle name="Total 3 3 2 5" xfId="6173" xr:uid="{00000000-0005-0000-0000-00006B760000}"/>
    <cellStyle name="Total 3 3 2 5 2" xfId="16360" xr:uid="{00000000-0005-0000-0000-00006C760000}"/>
    <cellStyle name="Total 3 3 2 5 2 2" xfId="31192" xr:uid="{00000000-0005-0000-0000-00006D760000}"/>
    <cellStyle name="Total 3 3 2 5 3" xfId="18503" xr:uid="{00000000-0005-0000-0000-00006E760000}"/>
    <cellStyle name="Total 3 3 2 6" xfId="12430" xr:uid="{00000000-0005-0000-0000-00006F760000}"/>
    <cellStyle name="Total 3 3 2 6 2" xfId="27262" xr:uid="{00000000-0005-0000-0000-000070760000}"/>
    <cellStyle name="Total 3 3 2 7" xfId="10012" xr:uid="{00000000-0005-0000-0000-000071760000}"/>
    <cellStyle name="Total 3 3 2 7 2" xfId="24844" xr:uid="{00000000-0005-0000-0000-000072760000}"/>
    <cellStyle name="Total 3 3 3" xfId="3291" xr:uid="{00000000-0005-0000-0000-000073760000}"/>
    <cellStyle name="Total 3 3 3 2" xfId="7355" xr:uid="{00000000-0005-0000-0000-000074760000}"/>
    <cellStyle name="Total 3 3 3 2 2" xfId="17097" xr:uid="{00000000-0005-0000-0000-000075760000}"/>
    <cellStyle name="Total 3 3 3 2 2 2" xfId="31929" xr:uid="{00000000-0005-0000-0000-000076760000}"/>
    <cellStyle name="Total 3 3 3 2 3" xfId="18985" xr:uid="{00000000-0005-0000-0000-000077760000}"/>
    <cellStyle name="Total 3 3 3 3" xfId="13628" xr:uid="{00000000-0005-0000-0000-000078760000}"/>
    <cellStyle name="Total 3 3 3 3 2" xfId="28460" xr:uid="{00000000-0005-0000-0000-000079760000}"/>
    <cellStyle name="Total 3 3 3 4" xfId="10723" xr:uid="{00000000-0005-0000-0000-00007A760000}"/>
    <cellStyle name="Total 3 3 3 4 2" xfId="25555" xr:uid="{00000000-0005-0000-0000-00007B760000}"/>
    <cellStyle name="Total 3 3 4" xfId="4591" xr:uid="{00000000-0005-0000-0000-00007C760000}"/>
    <cellStyle name="Total 3 3 4 2" xfId="8630" xr:uid="{00000000-0005-0000-0000-00007D760000}"/>
    <cellStyle name="Total 3 3 4 2 2" xfId="17748" xr:uid="{00000000-0005-0000-0000-00007E760000}"/>
    <cellStyle name="Total 3 3 4 2 2 2" xfId="32580" xr:uid="{00000000-0005-0000-0000-00007F760000}"/>
    <cellStyle name="Total 3 3 4 2 3" xfId="19410" xr:uid="{00000000-0005-0000-0000-000080760000}"/>
    <cellStyle name="Total 3 3 4 3" xfId="14918" xr:uid="{00000000-0005-0000-0000-000081760000}"/>
    <cellStyle name="Total 3 3 4 3 2" xfId="29750" xr:uid="{00000000-0005-0000-0000-000082760000}"/>
    <cellStyle name="Total 3 3 4 4" xfId="11354" xr:uid="{00000000-0005-0000-0000-000083760000}"/>
    <cellStyle name="Total 3 3 4 4 2" xfId="26186" xr:uid="{00000000-0005-0000-0000-000084760000}"/>
    <cellStyle name="Total 3 3 5" xfId="2581" xr:uid="{00000000-0005-0000-0000-000085760000}"/>
    <cellStyle name="Total 3 3 5 2" xfId="6687" xr:uid="{00000000-0005-0000-0000-000086760000}"/>
    <cellStyle name="Total 3 3 5 2 2" xfId="16645" xr:uid="{00000000-0005-0000-0000-000087760000}"/>
    <cellStyle name="Total 3 3 5 2 2 2" xfId="31477" xr:uid="{00000000-0005-0000-0000-000088760000}"/>
    <cellStyle name="Total 3 3 5 2 3" xfId="18698" xr:uid="{00000000-0005-0000-0000-000089760000}"/>
    <cellStyle name="Total 3 3 5 3" xfId="12919" xr:uid="{00000000-0005-0000-0000-00008A760000}"/>
    <cellStyle name="Total 3 3 5 3 2" xfId="27751" xr:uid="{00000000-0005-0000-0000-00008B760000}"/>
    <cellStyle name="Total 3 3 5 4" xfId="10295" xr:uid="{00000000-0005-0000-0000-00008C760000}"/>
    <cellStyle name="Total 3 3 5 4 2" xfId="25127" xr:uid="{00000000-0005-0000-0000-00008D760000}"/>
    <cellStyle name="Total 3 3 6" xfId="5704" xr:uid="{00000000-0005-0000-0000-00008E760000}"/>
    <cellStyle name="Total 3 3 6 2" xfId="15939" xr:uid="{00000000-0005-0000-0000-00008F760000}"/>
    <cellStyle name="Total 3 3 6 2 2" xfId="30771" xr:uid="{00000000-0005-0000-0000-000090760000}"/>
    <cellStyle name="Total 3 3 6 3" xfId="18340" xr:uid="{00000000-0005-0000-0000-000091760000}"/>
    <cellStyle name="Total 3 3 7" xfId="11959" xr:uid="{00000000-0005-0000-0000-000092760000}"/>
    <cellStyle name="Total 3 3 7 2" xfId="26791" xr:uid="{00000000-0005-0000-0000-000093760000}"/>
    <cellStyle name="Total 3 3 8" xfId="9617" xr:uid="{00000000-0005-0000-0000-000094760000}"/>
    <cellStyle name="Total 3 3 8 2" xfId="19919" xr:uid="{00000000-0005-0000-0000-000095760000}"/>
    <cellStyle name="Total 3 4" xfId="1599" xr:uid="{00000000-0005-0000-0000-000096760000}"/>
    <cellStyle name="Total 3 4 2" xfId="2096" xr:uid="{00000000-0005-0000-0000-000097760000}"/>
    <cellStyle name="Total 3 4 2 2" xfId="4101" xr:uid="{00000000-0005-0000-0000-000098760000}"/>
    <cellStyle name="Total 3 4 2 2 2" xfId="8147" xr:uid="{00000000-0005-0000-0000-000099760000}"/>
    <cellStyle name="Total 3 4 2 2 2 2" xfId="17518" xr:uid="{00000000-0005-0000-0000-00009A760000}"/>
    <cellStyle name="Total 3 4 2 2 2 2 2" xfId="32350" xr:uid="{00000000-0005-0000-0000-00009B760000}"/>
    <cellStyle name="Total 3 4 2 2 2 3" xfId="19266" xr:uid="{00000000-0005-0000-0000-00009C760000}"/>
    <cellStyle name="Total 3 4 2 2 3" xfId="14433" xr:uid="{00000000-0005-0000-0000-00009D760000}"/>
    <cellStyle name="Total 3 4 2 2 3 2" xfId="29265" xr:uid="{00000000-0005-0000-0000-00009E760000}"/>
    <cellStyle name="Total 3 4 2 2 4" xfId="11135" xr:uid="{00000000-0005-0000-0000-00009F760000}"/>
    <cellStyle name="Total 3 4 2 2 4 2" xfId="25967" xr:uid="{00000000-0005-0000-0000-0000A0760000}"/>
    <cellStyle name="Total 3 4 2 3" xfId="5064" xr:uid="{00000000-0005-0000-0000-0000A1760000}"/>
    <cellStyle name="Total 3 4 2 3 2" xfId="9103" xr:uid="{00000000-0005-0000-0000-0000A2760000}"/>
    <cellStyle name="Total 3 4 2 3 2 2" xfId="18036" xr:uid="{00000000-0005-0000-0000-0000A3760000}"/>
    <cellStyle name="Total 3 4 2 3 2 2 2" xfId="32868" xr:uid="{00000000-0005-0000-0000-0000A4760000}"/>
    <cellStyle name="Total 3 4 2 3 2 3" xfId="19602" xr:uid="{00000000-0005-0000-0000-0000A5760000}"/>
    <cellStyle name="Total 3 4 2 3 3" xfId="15385" xr:uid="{00000000-0005-0000-0000-0000A6760000}"/>
    <cellStyle name="Total 3 4 2 3 3 2" xfId="30217" xr:uid="{00000000-0005-0000-0000-0000A7760000}"/>
    <cellStyle name="Total 3 4 2 3 4" xfId="11636" xr:uid="{00000000-0005-0000-0000-0000A8760000}"/>
    <cellStyle name="Total 3 4 2 3 4 2" xfId="26468" xr:uid="{00000000-0005-0000-0000-0000A9760000}"/>
    <cellStyle name="Total 3 4 2 4" xfId="3054" xr:uid="{00000000-0005-0000-0000-0000AA760000}"/>
    <cellStyle name="Total 3 4 2 4 2" xfId="7129" xr:uid="{00000000-0005-0000-0000-0000AB760000}"/>
    <cellStyle name="Total 3 4 2 4 2 2" xfId="16927" xr:uid="{00000000-0005-0000-0000-0000AC760000}"/>
    <cellStyle name="Total 3 4 2 4 2 2 2" xfId="31759" xr:uid="{00000000-0005-0000-0000-0000AD760000}"/>
    <cellStyle name="Total 3 4 2 4 2 3" xfId="18895" xr:uid="{00000000-0005-0000-0000-0000AE760000}"/>
    <cellStyle name="Total 3 4 2 4 3" xfId="13392" xr:uid="{00000000-0005-0000-0000-0000AF760000}"/>
    <cellStyle name="Total 3 4 2 4 3 2" xfId="28224" xr:uid="{00000000-0005-0000-0000-0000B0760000}"/>
    <cellStyle name="Total 3 4 2 4 4" xfId="10583" xr:uid="{00000000-0005-0000-0000-0000B1760000}"/>
    <cellStyle name="Total 3 4 2 4 4 2" xfId="25415" xr:uid="{00000000-0005-0000-0000-0000B2760000}"/>
    <cellStyle name="Total 3 4 2 5" xfId="6221" xr:uid="{00000000-0005-0000-0000-0000B3760000}"/>
    <cellStyle name="Total 3 4 2 5 2" xfId="16407" xr:uid="{00000000-0005-0000-0000-0000B4760000}"/>
    <cellStyle name="Total 3 4 2 5 2 2" xfId="31239" xr:uid="{00000000-0005-0000-0000-0000B5760000}"/>
    <cellStyle name="Total 3 4 2 5 3" xfId="18536" xr:uid="{00000000-0005-0000-0000-0000B6760000}"/>
    <cellStyle name="Total 3 4 2 6" xfId="12477" xr:uid="{00000000-0005-0000-0000-0000B7760000}"/>
    <cellStyle name="Total 3 4 2 6 2" xfId="27309" xr:uid="{00000000-0005-0000-0000-0000B8760000}"/>
    <cellStyle name="Total 3 4 2 7" xfId="10059" xr:uid="{00000000-0005-0000-0000-0000B9760000}"/>
    <cellStyle name="Total 3 4 2 7 2" xfId="24891" xr:uid="{00000000-0005-0000-0000-0000BA760000}"/>
    <cellStyle name="Total 3 4 3" xfId="3672" xr:uid="{00000000-0005-0000-0000-0000BB760000}"/>
    <cellStyle name="Total 3 4 3 2" xfId="7730" xr:uid="{00000000-0005-0000-0000-0000BC760000}"/>
    <cellStyle name="Total 3 4 3 2 2" xfId="17308" xr:uid="{00000000-0005-0000-0000-0000BD760000}"/>
    <cellStyle name="Total 3 4 3 2 2 2" xfId="32140" xr:uid="{00000000-0005-0000-0000-0000BE760000}"/>
    <cellStyle name="Total 3 4 3 2 3" xfId="19116" xr:uid="{00000000-0005-0000-0000-0000BF760000}"/>
    <cellStyle name="Total 3 4 3 3" xfId="14007" xr:uid="{00000000-0005-0000-0000-0000C0760000}"/>
    <cellStyle name="Total 3 4 3 3 2" xfId="28839" xr:uid="{00000000-0005-0000-0000-0000C1760000}"/>
    <cellStyle name="Total 3 4 3 4" xfId="10925" xr:uid="{00000000-0005-0000-0000-0000C2760000}"/>
    <cellStyle name="Total 3 4 3 4 2" xfId="25757" xr:uid="{00000000-0005-0000-0000-0000C3760000}"/>
    <cellStyle name="Total 3 4 4" xfId="4644" xr:uid="{00000000-0005-0000-0000-0000C4760000}"/>
    <cellStyle name="Total 3 4 4 2" xfId="8683" xr:uid="{00000000-0005-0000-0000-0000C5760000}"/>
    <cellStyle name="Total 3 4 4 2 2" xfId="17796" xr:uid="{00000000-0005-0000-0000-0000C6760000}"/>
    <cellStyle name="Total 3 4 4 2 2 2" xfId="32628" xr:uid="{00000000-0005-0000-0000-0000C7760000}"/>
    <cellStyle name="Total 3 4 4 2 3" xfId="19442" xr:uid="{00000000-0005-0000-0000-0000C8760000}"/>
    <cellStyle name="Total 3 4 4 3" xfId="14970" xr:uid="{00000000-0005-0000-0000-0000C9760000}"/>
    <cellStyle name="Total 3 4 4 3 2" xfId="29802" xr:uid="{00000000-0005-0000-0000-0000CA760000}"/>
    <cellStyle name="Total 3 4 4 4" xfId="11401" xr:uid="{00000000-0005-0000-0000-0000CB760000}"/>
    <cellStyle name="Total 3 4 4 4 2" xfId="26233" xr:uid="{00000000-0005-0000-0000-0000CC760000}"/>
    <cellStyle name="Total 3 4 5" xfId="2634" xr:uid="{00000000-0005-0000-0000-0000CD760000}"/>
    <cellStyle name="Total 3 4 5 2" xfId="6735" xr:uid="{00000000-0005-0000-0000-0000CE760000}"/>
    <cellStyle name="Total 3 4 5 2 2" xfId="16692" xr:uid="{00000000-0005-0000-0000-0000CF760000}"/>
    <cellStyle name="Total 3 4 5 2 2 2" xfId="31524" xr:uid="{00000000-0005-0000-0000-0000D0760000}"/>
    <cellStyle name="Total 3 4 5 2 3" xfId="18731" xr:uid="{00000000-0005-0000-0000-0000D1760000}"/>
    <cellStyle name="Total 3 4 5 3" xfId="12972" xr:uid="{00000000-0005-0000-0000-0000D2760000}"/>
    <cellStyle name="Total 3 4 5 3 2" xfId="27804" xr:uid="{00000000-0005-0000-0000-0000D3760000}"/>
    <cellStyle name="Total 3 4 5 4" xfId="10343" xr:uid="{00000000-0005-0000-0000-0000D4760000}"/>
    <cellStyle name="Total 3 4 5 4 2" xfId="25175" xr:uid="{00000000-0005-0000-0000-0000D5760000}"/>
    <cellStyle name="Total 3 4 6" xfId="5751" xr:uid="{00000000-0005-0000-0000-0000D6760000}"/>
    <cellStyle name="Total 3 4 6 2" xfId="15986" xr:uid="{00000000-0005-0000-0000-0000D7760000}"/>
    <cellStyle name="Total 3 4 6 2 2" xfId="30818" xr:uid="{00000000-0005-0000-0000-0000D8760000}"/>
    <cellStyle name="Total 3 4 6 3" xfId="18372" xr:uid="{00000000-0005-0000-0000-0000D9760000}"/>
    <cellStyle name="Total 3 4 7" xfId="12006" xr:uid="{00000000-0005-0000-0000-0000DA760000}"/>
    <cellStyle name="Total 3 4 7 2" xfId="26838" xr:uid="{00000000-0005-0000-0000-0000DB760000}"/>
    <cellStyle name="Total 3 4 8" xfId="9665" xr:uid="{00000000-0005-0000-0000-0000DC760000}"/>
    <cellStyle name="Total 3 4 8 2" xfId="19966" xr:uid="{00000000-0005-0000-0000-0000DD760000}"/>
    <cellStyle name="Total 3 5" xfId="1649" xr:uid="{00000000-0005-0000-0000-0000DE760000}"/>
    <cellStyle name="Total 3 5 2" xfId="2146" xr:uid="{00000000-0005-0000-0000-0000DF760000}"/>
    <cellStyle name="Total 3 5 2 2" xfId="3429" xr:uid="{00000000-0005-0000-0000-0000E0760000}"/>
    <cellStyle name="Total 3 5 2 2 2" xfId="7492" xr:uid="{00000000-0005-0000-0000-0000E1760000}"/>
    <cellStyle name="Total 3 5 2 2 2 2" xfId="17186" xr:uid="{00000000-0005-0000-0000-0000E2760000}"/>
    <cellStyle name="Total 3 5 2 2 2 2 2" xfId="32018" xr:uid="{00000000-0005-0000-0000-0000E3760000}"/>
    <cellStyle name="Total 3 5 2 2 2 3" xfId="19033" xr:uid="{00000000-0005-0000-0000-0000E4760000}"/>
    <cellStyle name="Total 3 5 2 2 3" xfId="13766" xr:uid="{00000000-0005-0000-0000-0000E5760000}"/>
    <cellStyle name="Total 3 5 2 2 3 2" xfId="28598" xr:uid="{00000000-0005-0000-0000-0000E6760000}"/>
    <cellStyle name="Total 3 5 2 2 4" xfId="10805" xr:uid="{00000000-0005-0000-0000-0000E7760000}"/>
    <cellStyle name="Total 3 5 2 2 4 2" xfId="25637" xr:uid="{00000000-0005-0000-0000-0000E8760000}"/>
    <cellStyle name="Total 3 5 2 3" xfId="5114" xr:uid="{00000000-0005-0000-0000-0000E9760000}"/>
    <cellStyle name="Total 3 5 2 3 2" xfId="9153" xr:uid="{00000000-0005-0000-0000-0000EA760000}"/>
    <cellStyle name="Total 3 5 2 3 2 2" xfId="18081" xr:uid="{00000000-0005-0000-0000-0000EB760000}"/>
    <cellStyle name="Total 3 5 2 3 2 2 2" xfId="32913" xr:uid="{00000000-0005-0000-0000-0000EC760000}"/>
    <cellStyle name="Total 3 5 2 3 2 3" xfId="19634" xr:uid="{00000000-0005-0000-0000-0000ED760000}"/>
    <cellStyle name="Total 3 5 2 3 3" xfId="15434" xr:uid="{00000000-0005-0000-0000-0000EE760000}"/>
    <cellStyle name="Total 3 5 2 3 3 2" xfId="30266" xr:uid="{00000000-0005-0000-0000-0000EF760000}"/>
    <cellStyle name="Total 3 5 2 3 4" xfId="11680" xr:uid="{00000000-0005-0000-0000-0000F0760000}"/>
    <cellStyle name="Total 3 5 2 3 4 2" xfId="26512" xr:uid="{00000000-0005-0000-0000-0000F1760000}"/>
    <cellStyle name="Total 3 5 2 4" xfId="3104" xr:uid="{00000000-0005-0000-0000-0000F2760000}"/>
    <cellStyle name="Total 3 5 2 4 2" xfId="7174" xr:uid="{00000000-0005-0000-0000-0000F3760000}"/>
    <cellStyle name="Total 3 5 2 4 2 2" xfId="16971" xr:uid="{00000000-0005-0000-0000-0000F4760000}"/>
    <cellStyle name="Total 3 5 2 4 2 2 2" xfId="31803" xr:uid="{00000000-0005-0000-0000-0000F5760000}"/>
    <cellStyle name="Total 3 5 2 4 2 3" xfId="18928" xr:uid="{00000000-0005-0000-0000-0000F6760000}"/>
    <cellStyle name="Total 3 5 2 4 3" xfId="13442" xr:uid="{00000000-0005-0000-0000-0000F7760000}"/>
    <cellStyle name="Total 3 5 2 4 3 2" xfId="28274" xr:uid="{00000000-0005-0000-0000-0000F8760000}"/>
    <cellStyle name="Total 3 5 2 4 4" xfId="10628" xr:uid="{00000000-0005-0000-0000-0000F9760000}"/>
    <cellStyle name="Total 3 5 2 4 4 2" xfId="25460" xr:uid="{00000000-0005-0000-0000-0000FA760000}"/>
    <cellStyle name="Total 3 5 2 5" xfId="6266" xr:uid="{00000000-0005-0000-0000-0000FB760000}"/>
    <cellStyle name="Total 3 5 2 5 2" xfId="16451" xr:uid="{00000000-0005-0000-0000-0000FC760000}"/>
    <cellStyle name="Total 3 5 2 5 2 2" xfId="31283" xr:uid="{00000000-0005-0000-0000-0000FD760000}"/>
    <cellStyle name="Total 3 5 2 5 3" xfId="18569" xr:uid="{00000000-0005-0000-0000-0000FE760000}"/>
    <cellStyle name="Total 3 5 2 6" xfId="12521" xr:uid="{00000000-0005-0000-0000-0000FF760000}"/>
    <cellStyle name="Total 3 5 2 6 2" xfId="27353" xr:uid="{00000000-0005-0000-0000-000000770000}"/>
    <cellStyle name="Total 3 5 2 7" xfId="10103" xr:uid="{00000000-0005-0000-0000-000001770000}"/>
    <cellStyle name="Total 3 5 2 7 2" xfId="24935" xr:uid="{00000000-0005-0000-0000-000002770000}"/>
    <cellStyle name="Total 3 5 3" xfId="3562" xr:uid="{00000000-0005-0000-0000-000003770000}"/>
    <cellStyle name="Total 3 5 3 2" xfId="7624" xr:uid="{00000000-0005-0000-0000-000004770000}"/>
    <cellStyle name="Total 3 5 3 2 2" xfId="17258" xr:uid="{00000000-0005-0000-0000-000005770000}"/>
    <cellStyle name="Total 3 5 3 2 2 2" xfId="32090" xr:uid="{00000000-0005-0000-0000-000006770000}"/>
    <cellStyle name="Total 3 5 3 2 3" xfId="19081" xr:uid="{00000000-0005-0000-0000-000007770000}"/>
    <cellStyle name="Total 3 5 3 3" xfId="13898" xr:uid="{00000000-0005-0000-0000-000008770000}"/>
    <cellStyle name="Total 3 5 3 3 2" xfId="28730" xr:uid="{00000000-0005-0000-0000-000009770000}"/>
    <cellStyle name="Total 3 5 3 4" xfId="10875" xr:uid="{00000000-0005-0000-0000-00000A770000}"/>
    <cellStyle name="Total 3 5 3 4 2" xfId="25707" xr:uid="{00000000-0005-0000-0000-00000B770000}"/>
    <cellStyle name="Total 3 5 4" xfId="4694" xr:uid="{00000000-0005-0000-0000-00000C770000}"/>
    <cellStyle name="Total 3 5 4 2" xfId="8733" xr:uid="{00000000-0005-0000-0000-00000D770000}"/>
    <cellStyle name="Total 3 5 4 2 2" xfId="17841" xr:uid="{00000000-0005-0000-0000-00000E770000}"/>
    <cellStyle name="Total 3 5 4 2 2 2" xfId="32673" xr:uid="{00000000-0005-0000-0000-00000F770000}"/>
    <cellStyle name="Total 3 5 4 2 3" xfId="19474" xr:uid="{00000000-0005-0000-0000-000010770000}"/>
    <cellStyle name="Total 3 5 4 3" xfId="15019" xr:uid="{00000000-0005-0000-0000-000011770000}"/>
    <cellStyle name="Total 3 5 4 3 2" xfId="29851" xr:uid="{00000000-0005-0000-0000-000012770000}"/>
    <cellStyle name="Total 3 5 4 4" xfId="11445" xr:uid="{00000000-0005-0000-0000-000013770000}"/>
    <cellStyle name="Total 3 5 4 4 2" xfId="26277" xr:uid="{00000000-0005-0000-0000-000014770000}"/>
    <cellStyle name="Total 3 5 5" xfId="2684" xr:uid="{00000000-0005-0000-0000-000015770000}"/>
    <cellStyle name="Total 3 5 5 2" xfId="6780" xr:uid="{00000000-0005-0000-0000-000016770000}"/>
    <cellStyle name="Total 3 5 5 2 2" xfId="16736" xr:uid="{00000000-0005-0000-0000-000017770000}"/>
    <cellStyle name="Total 3 5 5 2 2 2" xfId="31568" xr:uid="{00000000-0005-0000-0000-000018770000}"/>
    <cellStyle name="Total 3 5 5 2 3" xfId="18764" xr:uid="{00000000-0005-0000-0000-000019770000}"/>
    <cellStyle name="Total 3 5 5 3" xfId="13022" xr:uid="{00000000-0005-0000-0000-00001A770000}"/>
    <cellStyle name="Total 3 5 5 3 2" xfId="27854" xr:uid="{00000000-0005-0000-0000-00001B770000}"/>
    <cellStyle name="Total 3 5 5 4" xfId="10388" xr:uid="{00000000-0005-0000-0000-00001C770000}"/>
    <cellStyle name="Total 3 5 5 4 2" xfId="25220" xr:uid="{00000000-0005-0000-0000-00001D770000}"/>
    <cellStyle name="Total 3 5 6" xfId="5796" xr:uid="{00000000-0005-0000-0000-00001E770000}"/>
    <cellStyle name="Total 3 5 6 2" xfId="16030" xr:uid="{00000000-0005-0000-0000-00001F770000}"/>
    <cellStyle name="Total 3 5 6 2 2" xfId="30862" xr:uid="{00000000-0005-0000-0000-000020770000}"/>
    <cellStyle name="Total 3 5 6 3" xfId="18405" xr:uid="{00000000-0005-0000-0000-000021770000}"/>
    <cellStyle name="Total 3 5 7" xfId="12050" xr:uid="{00000000-0005-0000-0000-000022770000}"/>
    <cellStyle name="Total 3 5 7 2" xfId="26882" xr:uid="{00000000-0005-0000-0000-000023770000}"/>
    <cellStyle name="Total 3 5 8" xfId="9710" xr:uid="{00000000-0005-0000-0000-000024770000}"/>
    <cellStyle name="Total 3 5 8 2" xfId="20010" xr:uid="{00000000-0005-0000-0000-000025770000}"/>
    <cellStyle name="Total 3 6" xfId="1800" xr:uid="{00000000-0005-0000-0000-000026770000}"/>
    <cellStyle name="Total 3 6 2" xfId="3376" xr:uid="{00000000-0005-0000-0000-000027770000}"/>
    <cellStyle name="Total 3 6 2 2" xfId="7439" xr:uid="{00000000-0005-0000-0000-000028770000}"/>
    <cellStyle name="Total 3 6 2 2 2" xfId="17148" xr:uid="{00000000-0005-0000-0000-000029770000}"/>
    <cellStyle name="Total 3 6 2 2 2 2" xfId="31980" xr:uid="{00000000-0005-0000-0000-00002A770000}"/>
    <cellStyle name="Total 3 6 2 2 3" xfId="19015" xr:uid="{00000000-0005-0000-0000-00002B770000}"/>
    <cellStyle name="Total 3 6 2 3" xfId="13713" xr:uid="{00000000-0005-0000-0000-00002C770000}"/>
    <cellStyle name="Total 3 6 2 3 2" xfId="28545" xr:uid="{00000000-0005-0000-0000-00002D770000}"/>
    <cellStyle name="Total 3 6 2 4" xfId="10767" xr:uid="{00000000-0005-0000-0000-00002E770000}"/>
    <cellStyle name="Total 3 6 2 4 2" xfId="25599" xr:uid="{00000000-0005-0000-0000-00002F770000}"/>
    <cellStyle name="Total 3 6 3" xfId="4778" xr:uid="{00000000-0005-0000-0000-000030770000}"/>
    <cellStyle name="Total 3 6 3 2" xfId="8817" xr:uid="{00000000-0005-0000-0000-000031770000}"/>
    <cellStyle name="Total 3 6 3 2 2" xfId="17889" xr:uid="{00000000-0005-0000-0000-000032770000}"/>
    <cellStyle name="Total 3 6 3 2 2 2" xfId="32721" xr:uid="{00000000-0005-0000-0000-000033770000}"/>
    <cellStyle name="Total 3 6 3 2 3" xfId="19506" xr:uid="{00000000-0005-0000-0000-000034770000}"/>
    <cellStyle name="Total 3 6 3 3" xfId="15102" xr:uid="{00000000-0005-0000-0000-000035770000}"/>
    <cellStyle name="Total 3 6 3 3 2" xfId="29934" xr:uid="{00000000-0005-0000-0000-000036770000}"/>
    <cellStyle name="Total 3 6 3 4" xfId="11492" xr:uid="{00000000-0005-0000-0000-000037770000}"/>
    <cellStyle name="Total 3 6 3 4 2" xfId="26324" xr:uid="{00000000-0005-0000-0000-000038770000}"/>
    <cellStyle name="Total 3 6 4" xfId="2768" xr:uid="{00000000-0005-0000-0000-000039770000}"/>
    <cellStyle name="Total 3 6 4 2" xfId="6859" xr:uid="{00000000-0005-0000-0000-00003A770000}"/>
    <cellStyle name="Total 3 6 4 2 2" xfId="16783" xr:uid="{00000000-0005-0000-0000-00003B770000}"/>
    <cellStyle name="Total 3 6 4 2 2 2" xfId="31615" xr:uid="{00000000-0005-0000-0000-00003C770000}"/>
    <cellStyle name="Total 3 6 4 2 3" xfId="18797" xr:uid="{00000000-0005-0000-0000-00003D770000}"/>
    <cellStyle name="Total 3 6 4 3" xfId="13106" xr:uid="{00000000-0005-0000-0000-00003E770000}"/>
    <cellStyle name="Total 3 6 4 3 2" xfId="27938" xr:uid="{00000000-0005-0000-0000-00003F770000}"/>
    <cellStyle name="Total 3 6 4 4" xfId="10436" xr:uid="{00000000-0005-0000-0000-000040770000}"/>
    <cellStyle name="Total 3 6 4 4 2" xfId="25268" xr:uid="{00000000-0005-0000-0000-000041770000}"/>
    <cellStyle name="Total 3 6 5" xfId="5932" xr:uid="{00000000-0005-0000-0000-000042770000}"/>
    <cellStyle name="Total 3 6 5 2" xfId="16124" xr:uid="{00000000-0005-0000-0000-000043770000}"/>
    <cellStyle name="Total 3 6 5 2 2" xfId="30956" xr:uid="{00000000-0005-0000-0000-000044770000}"/>
    <cellStyle name="Total 3 6 5 3" xfId="18439" xr:uid="{00000000-0005-0000-0000-000045770000}"/>
    <cellStyle name="Total 3 6 6" xfId="12194" xr:uid="{00000000-0005-0000-0000-000046770000}"/>
    <cellStyle name="Total 3 6 6 2" xfId="27026" xr:uid="{00000000-0005-0000-0000-000047770000}"/>
    <cellStyle name="Total 3 6 7" xfId="9790" xr:uid="{00000000-0005-0000-0000-000048770000}"/>
    <cellStyle name="Total 3 6 7 2" xfId="24747" xr:uid="{00000000-0005-0000-0000-000049770000}"/>
    <cellStyle name="Total 3 7" xfId="2166" xr:uid="{00000000-0005-0000-0000-00004A770000}"/>
    <cellStyle name="Total 3 7 2" xfId="4001" xr:uid="{00000000-0005-0000-0000-00004B770000}"/>
    <cellStyle name="Total 3 7 2 2" xfId="8048" xr:uid="{00000000-0005-0000-0000-00004C770000}"/>
    <cellStyle name="Total 3 7 2 2 2" xfId="17468" xr:uid="{00000000-0005-0000-0000-00004D770000}"/>
    <cellStyle name="Total 3 7 2 2 2 2" xfId="32300" xr:uid="{00000000-0005-0000-0000-00004E770000}"/>
    <cellStyle name="Total 3 7 2 2 3" xfId="19229" xr:uid="{00000000-0005-0000-0000-00004F770000}"/>
    <cellStyle name="Total 3 7 2 3" xfId="14333" xr:uid="{00000000-0005-0000-0000-000050770000}"/>
    <cellStyle name="Total 3 7 2 3 2" xfId="29165" xr:uid="{00000000-0005-0000-0000-000051770000}"/>
    <cellStyle name="Total 3 7 2 4" xfId="11085" xr:uid="{00000000-0005-0000-0000-000052770000}"/>
    <cellStyle name="Total 3 7 2 4 2" xfId="25917" xr:uid="{00000000-0005-0000-0000-000053770000}"/>
    <cellStyle name="Total 3 7 3" xfId="5134" xr:uid="{00000000-0005-0000-0000-000054770000}"/>
    <cellStyle name="Total 3 7 3 2" xfId="9173" xr:uid="{00000000-0005-0000-0000-000055770000}"/>
    <cellStyle name="Total 3 7 3 2 2" xfId="18096" xr:uid="{00000000-0005-0000-0000-000056770000}"/>
    <cellStyle name="Total 3 7 3 2 2 2" xfId="32928" xr:uid="{00000000-0005-0000-0000-000057770000}"/>
    <cellStyle name="Total 3 7 3 2 3" xfId="19647" xr:uid="{00000000-0005-0000-0000-000058770000}"/>
    <cellStyle name="Total 3 7 3 3" xfId="15452" xr:uid="{00000000-0005-0000-0000-000059770000}"/>
    <cellStyle name="Total 3 7 3 3 2" xfId="30284" xr:uid="{00000000-0005-0000-0000-00005A770000}"/>
    <cellStyle name="Total 3 7 3 4" xfId="11693" xr:uid="{00000000-0005-0000-0000-00005B770000}"/>
    <cellStyle name="Total 3 7 3 4 2" xfId="26525" xr:uid="{00000000-0005-0000-0000-00005C770000}"/>
    <cellStyle name="Total 3 7 4" xfId="4164" xr:uid="{00000000-0005-0000-0000-00005D770000}"/>
    <cellStyle name="Total 3 7 4 2" xfId="8205" xr:uid="{00000000-0005-0000-0000-00005E770000}"/>
    <cellStyle name="Total 3 7 4 2 2" xfId="17552" xr:uid="{00000000-0005-0000-0000-00005F770000}"/>
    <cellStyle name="Total 3 7 4 2 2 2" xfId="32384" xr:uid="{00000000-0005-0000-0000-000060770000}"/>
    <cellStyle name="Total 3 7 4 2 3" xfId="19290" xr:uid="{00000000-0005-0000-0000-000061770000}"/>
    <cellStyle name="Total 3 7 4 3" xfId="14496" xr:uid="{00000000-0005-0000-0000-000062770000}"/>
    <cellStyle name="Total 3 7 4 3 2" xfId="29328" xr:uid="{00000000-0005-0000-0000-000063770000}"/>
    <cellStyle name="Total 3 7 4 4" xfId="11172" xr:uid="{00000000-0005-0000-0000-000064770000}"/>
    <cellStyle name="Total 3 7 4 4 2" xfId="26004" xr:uid="{00000000-0005-0000-0000-000065770000}"/>
    <cellStyle name="Total 3 7 5" xfId="6280" xr:uid="{00000000-0005-0000-0000-000066770000}"/>
    <cellStyle name="Total 3 7 5 2" xfId="16464" xr:uid="{00000000-0005-0000-0000-000067770000}"/>
    <cellStyle name="Total 3 7 5 2 2" xfId="31296" xr:uid="{00000000-0005-0000-0000-000068770000}"/>
    <cellStyle name="Total 3 7 5 3" xfId="18583" xr:uid="{00000000-0005-0000-0000-000069770000}"/>
    <cellStyle name="Total 3 7 6" xfId="12534" xr:uid="{00000000-0005-0000-0000-00006A770000}"/>
    <cellStyle name="Total 3 7 6 2" xfId="27366" xr:uid="{00000000-0005-0000-0000-00006B770000}"/>
    <cellStyle name="Total 3 7 7" xfId="10116" xr:uid="{00000000-0005-0000-0000-00006C770000}"/>
    <cellStyle name="Total 3 7 7 2" xfId="24948" xr:uid="{00000000-0005-0000-0000-00006D770000}"/>
    <cellStyle name="Total 3 8" xfId="3139" xr:uid="{00000000-0005-0000-0000-00006E770000}"/>
    <cellStyle name="Total 3 8 2" xfId="7203" xr:uid="{00000000-0005-0000-0000-00006F770000}"/>
    <cellStyle name="Total 3 8 2 2" xfId="16988" xr:uid="{00000000-0005-0000-0000-000070770000}"/>
    <cellStyle name="Total 3 8 2 2 2" xfId="31820" xr:uid="{00000000-0005-0000-0000-000071770000}"/>
    <cellStyle name="Total 3 8 2 3" xfId="18939" xr:uid="{00000000-0005-0000-0000-000072770000}"/>
    <cellStyle name="Total 3 8 3" xfId="13477" xr:uid="{00000000-0005-0000-0000-000073770000}"/>
    <cellStyle name="Total 3 8 3 2" xfId="28309" xr:uid="{00000000-0005-0000-0000-000074770000}"/>
    <cellStyle name="Total 3 8 4" xfId="10642" xr:uid="{00000000-0005-0000-0000-000075770000}"/>
    <cellStyle name="Total 3 8 4 2" xfId="25474" xr:uid="{00000000-0005-0000-0000-000076770000}"/>
    <cellStyle name="Total 3 9" xfId="4278" xr:uid="{00000000-0005-0000-0000-000077770000}"/>
    <cellStyle name="Total 3 9 2" xfId="8317" xr:uid="{00000000-0005-0000-0000-000078770000}"/>
    <cellStyle name="Total 3 9 2 2" xfId="17601" xr:uid="{00000000-0005-0000-0000-000079770000}"/>
    <cellStyle name="Total 3 9 2 2 2" xfId="32433" xr:uid="{00000000-0005-0000-0000-00007A770000}"/>
    <cellStyle name="Total 3 9 2 3" xfId="19318" xr:uid="{00000000-0005-0000-0000-00007B770000}"/>
    <cellStyle name="Total 3 9 3" xfId="14610" xr:uid="{00000000-0005-0000-0000-00007C770000}"/>
    <cellStyle name="Total 3 9 3 2" xfId="29442" xr:uid="{00000000-0005-0000-0000-00007D770000}"/>
    <cellStyle name="Total 3 9 4" xfId="11219" xr:uid="{00000000-0005-0000-0000-00007E770000}"/>
    <cellStyle name="Total 3 9 4 2" xfId="26051" xr:uid="{00000000-0005-0000-0000-00007F770000}"/>
    <cellStyle name="Total 4" xfId="1276" xr:uid="{00000000-0005-0000-0000-000080770000}"/>
    <cellStyle name="Total 4 10" xfId="2343" xr:uid="{00000000-0005-0000-0000-000081770000}"/>
    <cellStyle name="Total 4 10 2" xfId="6455" xr:uid="{00000000-0005-0000-0000-000082770000}"/>
    <cellStyle name="Total 4 10 2 2" xfId="16547" xr:uid="{00000000-0005-0000-0000-000083770000}"/>
    <cellStyle name="Total 4 10 2 2 2" xfId="31379" xr:uid="{00000000-0005-0000-0000-000084770000}"/>
    <cellStyle name="Total 4 10 2 3" xfId="18635" xr:uid="{00000000-0005-0000-0000-000085770000}"/>
    <cellStyle name="Total 4 10 3" xfId="12683" xr:uid="{00000000-0005-0000-0000-000086770000}"/>
    <cellStyle name="Total 4 10 3 2" xfId="27515" xr:uid="{00000000-0005-0000-0000-000087770000}"/>
    <cellStyle name="Total 4 10 4" xfId="10198" xr:uid="{00000000-0005-0000-0000-000088770000}"/>
    <cellStyle name="Total 4 10 4 2" xfId="25030" xr:uid="{00000000-0005-0000-0000-000089770000}"/>
    <cellStyle name="Total 4 11" xfId="5305" xr:uid="{00000000-0005-0000-0000-00008A770000}"/>
    <cellStyle name="Total 4 11 2" xfId="9313" xr:uid="{00000000-0005-0000-0000-00008B770000}"/>
    <cellStyle name="Total 4 11 2 2" xfId="18180" xr:uid="{00000000-0005-0000-0000-00008C770000}"/>
    <cellStyle name="Total 4 11 2 2 2" xfId="33012" xr:uid="{00000000-0005-0000-0000-00008D770000}"/>
    <cellStyle name="Total 4 11 2 3" xfId="19699" xr:uid="{00000000-0005-0000-0000-00008E770000}"/>
    <cellStyle name="Total 4 11 3" xfId="15621" xr:uid="{00000000-0005-0000-0000-00008F770000}"/>
    <cellStyle name="Total 4 11 3 2" xfId="30453" xr:uid="{00000000-0005-0000-0000-000090770000}"/>
    <cellStyle name="Total 4 12" xfId="5463" xr:uid="{00000000-0005-0000-0000-000091770000}"/>
    <cellStyle name="Total 4 12 2" xfId="15699" xr:uid="{00000000-0005-0000-0000-000092770000}"/>
    <cellStyle name="Total 4 12 2 2" xfId="30531" xr:uid="{00000000-0005-0000-0000-000093770000}"/>
    <cellStyle name="Total 4 12 3" xfId="18276" xr:uid="{00000000-0005-0000-0000-000094770000}"/>
    <cellStyle name="Total 4 13" xfId="9328" xr:uid="{00000000-0005-0000-0000-000095770000}"/>
    <cellStyle name="Total 4 13 2" xfId="24634" xr:uid="{00000000-0005-0000-0000-000096770000}"/>
    <cellStyle name="Total 4 14" xfId="5317" xr:uid="{00000000-0005-0000-0000-000097770000}"/>
    <cellStyle name="Total 4 14 2" xfId="18191" xr:uid="{00000000-0005-0000-0000-000098770000}"/>
    <cellStyle name="Total 4 2" xfId="1375" xr:uid="{00000000-0005-0000-0000-000099770000}"/>
    <cellStyle name="Total 4 2 2" xfId="1879" xr:uid="{00000000-0005-0000-0000-00009A770000}"/>
    <cellStyle name="Total 4 2 2 2" xfId="3836" xr:uid="{00000000-0005-0000-0000-00009B770000}"/>
    <cellStyle name="Total 4 2 2 2 2" xfId="7889" xr:uid="{00000000-0005-0000-0000-00009C770000}"/>
    <cellStyle name="Total 4 2 2 2 2 2" xfId="17387" xr:uid="{00000000-0005-0000-0000-00009D770000}"/>
    <cellStyle name="Total 4 2 2 2 2 2 2" xfId="32219" xr:uid="{00000000-0005-0000-0000-00009E770000}"/>
    <cellStyle name="Total 4 2 2 2 2 3" xfId="19171" xr:uid="{00000000-0005-0000-0000-00009F770000}"/>
    <cellStyle name="Total 4 2 2 2 3" xfId="14171" xr:uid="{00000000-0005-0000-0000-0000A0770000}"/>
    <cellStyle name="Total 4 2 2 2 3 2" xfId="29003" xr:uid="{00000000-0005-0000-0000-0000A1770000}"/>
    <cellStyle name="Total 4 2 2 2 4" xfId="11006" xr:uid="{00000000-0005-0000-0000-0000A2770000}"/>
    <cellStyle name="Total 4 2 2 2 4 2" xfId="25838" xr:uid="{00000000-0005-0000-0000-0000A3770000}"/>
    <cellStyle name="Total 4 2 2 3" xfId="4857" xr:uid="{00000000-0005-0000-0000-0000A4770000}"/>
    <cellStyle name="Total 4 2 2 3 2" xfId="8896" xr:uid="{00000000-0005-0000-0000-0000A5770000}"/>
    <cellStyle name="Total 4 2 2 3 2 2" xfId="17937" xr:uid="{00000000-0005-0000-0000-0000A6770000}"/>
    <cellStyle name="Total 4 2 2 3 2 2 2" xfId="32769" xr:uid="{00000000-0005-0000-0000-0000A7770000}"/>
    <cellStyle name="Total 4 2 2 3 2 3" xfId="19539" xr:uid="{00000000-0005-0000-0000-0000A8770000}"/>
    <cellStyle name="Total 4 2 2 3 3" xfId="15181" xr:uid="{00000000-0005-0000-0000-0000A9770000}"/>
    <cellStyle name="Total 4 2 2 3 3 2" xfId="30013" xr:uid="{00000000-0005-0000-0000-0000AA770000}"/>
    <cellStyle name="Total 4 2 2 3 4" xfId="11540" xr:uid="{00000000-0005-0000-0000-0000AB770000}"/>
    <cellStyle name="Total 4 2 2 3 4 2" xfId="26372" xr:uid="{00000000-0005-0000-0000-0000AC770000}"/>
    <cellStyle name="Total 4 2 2 4" xfId="2847" xr:uid="{00000000-0005-0000-0000-0000AD770000}"/>
    <cellStyle name="Total 4 2 2 4 2" xfId="6938" xr:uid="{00000000-0005-0000-0000-0000AE770000}"/>
    <cellStyle name="Total 4 2 2 4 2 2" xfId="16831" xr:uid="{00000000-0005-0000-0000-0000AF770000}"/>
    <cellStyle name="Total 4 2 2 4 2 2 2" xfId="31663" xr:uid="{00000000-0005-0000-0000-0000B0770000}"/>
    <cellStyle name="Total 4 2 2 4 2 3" xfId="18830" xr:uid="{00000000-0005-0000-0000-0000B1770000}"/>
    <cellStyle name="Total 4 2 2 4 3" xfId="13185" xr:uid="{00000000-0005-0000-0000-0000B2770000}"/>
    <cellStyle name="Total 4 2 2 4 3 2" xfId="28017" xr:uid="{00000000-0005-0000-0000-0000B3770000}"/>
    <cellStyle name="Total 4 2 2 4 4" xfId="10484" xr:uid="{00000000-0005-0000-0000-0000B4770000}"/>
    <cellStyle name="Total 4 2 2 4 4 2" xfId="25316" xr:uid="{00000000-0005-0000-0000-0000B5770000}"/>
    <cellStyle name="Total 4 2 2 5" xfId="6011" xr:uid="{00000000-0005-0000-0000-0000B6770000}"/>
    <cellStyle name="Total 4 2 2 5 2" xfId="16203" xr:uid="{00000000-0005-0000-0000-0000B7770000}"/>
    <cellStyle name="Total 4 2 2 5 2 2" xfId="31035" xr:uid="{00000000-0005-0000-0000-0000B8770000}"/>
    <cellStyle name="Total 4 2 2 5 3" xfId="18472" xr:uid="{00000000-0005-0000-0000-0000B9770000}"/>
    <cellStyle name="Total 4 2 2 6" xfId="12273" xr:uid="{00000000-0005-0000-0000-0000BA770000}"/>
    <cellStyle name="Total 4 2 2 6 2" xfId="27105" xr:uid="{00000000-0005-0000-0000-0000BB770000}"/>
    <cellStyle name="Total 4 2 2 7" xfId="9869" xr:uid="{00000000-0005-0000-0000-0000BC770000}"/>
    <cellStyle name="Total 4 2 2 7 2" xfId="24795" xr:uid="{00000000-0005-0000-0000-0000BD770000}"/>
    <cellStyle name="Total 4 2 3" xfId="3329" xr:uid="{00000000-0005-0000-0000-0000BE770000}"/>
    <cellStyle name="Total 4 2 3 2" xfId="7392" xr:uid="{00000000-0005-0000-0000-0000BF770000}"/>
    <cellStyle name="Total 4 2 3 2 2" xfId="17125" xr:uid="{00000000-0005-0000-0000-0000C0770000}"/>
    <cellStyle name="Total 4 2 3 2 2 2" xfId="31957" xr:uid="{00000000-0005-0000-0000-0000C1770000}"/>
    <cellStyle name="Total 4 2 3 2 3" xfId="19001" xr:uid="{00000000-0005-0000-0000-0000C2770000}"/>
    <cellStyle name="Total 4 2 3 3" xfId="13666" xr:uid="{00000000-0005-0000-0000-0000C3770000}"/>
    <cellStyle name="Total 4 2 3 3 2" xfId="28498" xr:uid="{00000000-0005-0000-0000-0000C4770000}"/>
    <cellStyle name="Total 4 2 3 4" xfId="10746" xr:uid="{00000000-0005-0000-0000-0000C5770000}"/>
    <cellStyle name="Total 4 2 3 4 2" xfId="25578" xr:uid="{00000000-0005-0000-0000-0000C6770000}"/>
    <cellStyle name="Total 4 2 4" xfId="4437" xr:uid="{00000000-0005-0000-0000-0000C7770000}"/>
    <cellStyle name="Total 4 2 4 2" xfId="8476" xr:uid="{00000000-0005-0000-0000-0000C8770000}"/>
    <cellStyle name="Total 4 2 4 2 2" xfId="17697" xr:uid="{00000000-0005-0000-0000-0000C9770000}"/>
    <cellStyle name="Total 4 2 4 2 2 2" xfId="32529" xr:uid="{00000000-0005-0000-0000-0000CA770000}"/>
    <cellStyle name="Total 4 2 4 2 3" xfId="19379" xr:uid="{00000000-0005-0000-0000-0000CB770000}"/>
    <cellStyle name="Total 4 2 4 3" xfId="14766" xr:uid="{00000000-0005-0000-0000-0000CC770000}"/>
    <cellStyle name="Total 4 2 4 3 2" xfId="29598" xr:uid="{00000000-0005-0000-0000-0000CD770000}"/>
    <cellStyle name="Total 4 2 4 4" xfId="11305" xr:uid="{00000000-0005-0000-0000-0000CE770000}"/>
    <cellStyle name="Total 4 2 4 4 2" xfId="26137" xr:uid="{00000000-0005-0000-0000-0000CF770000}"/>
    <cellStyle name="Total 4 2 5" xfId="2427" xr:uid="{00000000-0005-0000-0000-0000D0770000}"/>
    <cellStyle name="Total 4 2 5 2" xfId="6539" xr:uid="{00000000-0005-0000-0000-0000D1770000}"/>
    <cellStyle name="Total 4 2 5 2 2" xfId="16595" xr:uid="{00000000-0005-0000-0000-0000D2770000}"/>
    <cellStyle name="Total 4 2 5 2 2 2" xfId="31427" xr:uid="{00000000-0005-0000-0000-0000D3770000}"/>
    <cellStyle name="Total 4 2 5 2 3" xfId="18667" xr:uid="{00000000-0005-0000-0000-0000D4770000}"/>
    <cellStyle name="Total 4 2 5 3" xfId="12766" xr:uid="{00000000-0005-0000-0000-0000D5770000}"/>
    <cellStyle name="Total 4 2 5 3 2" xfId="27598" xr:uid="{00000000-0005-0000-0000-0000D6770000}"/>
    <cellStyle name="Total 4 2 5 4" xfId="10245" xr:uid="{00000000-0005-0000-0000-0000D7770000}"/>
    <cellStyle name="Total 4 2 5 4 2" xfId="25077" xr:uid="{00000000-0005-0000-0000-0000D8770000}"/>
    <cellStyle name="Total 4 2 6" xfId="5552" xr:uid="{00000000-0005-0000-0000-0000D9770000}"/>
    <cellStyle name="Total 4 2 6 2" xfId="15787" xr:uid="{00000000-0005-0000-0000-0000DA770000}"/>
    <cellStyle name="Total 4 2 6 2 2" xfId="30619" xr:uid="{00000000-0005-0000-0000-0000DB770000}"/>
    <cellStyle name="Total 4 2 6 3" xfId="18309" xr:uid="{00000000-0005-0000-0000-0000DC770000}"/>
    <cellStyle name="Total 4 2 7" xfId="11802" xr:uid="{00000000-0005-0000-0000-0000DD770000}"/>
    <cellStyle name="Total 4 2 7 2" xfId="26634" xr:uid="{00000000-0005-0000-0000-0000DE770000}"/>
    <cellStyle name="Total 4 2 8" xfId="9473" xr:uid="{00000000-0005-0000-0000-0000DF770000}"/>
    <cellStyle name="Total 4 2 8 2" xfId="19777" xr:uid="{00000000-0005-0000-0000-0000E0770000}"/>
    <cellStyle name="Total 4 3" xfId="1547" xr:uid="{00000000-0005-0000-0000-0000E1770000}"/>
    <cellStyle name="Total 4 3 2" xfId="2044" xr:uid="{00000000-0005-0000-0000-0000E2770000}"/>
    <cellStyle name="Total 4 3 2 2" xfId="4328" xr:uid="{00000000-0005-0000-0000-0000E3770000}"/>
    <cellStyle name="Total 4 3 2 2 2" xfId="8367" xr:uid="{00000000-0005-0000-0000-0000E4770000}"/>
    <cellStyle name="Total 4 3 2 2 2 2" xfId="17645" xr:uid="{00000000-0005-0000-0000-0000E5770000}"/>
    <cellStyle name="Total 4 3 2 2 2 2 2" xfId="32477" xr:uid="{00000000-0005-0000-0000-0000E6770000}"/>
    <cellStyle name="Total 4 3 2 2 2 3" xfId="19345" xr:uid="{00000000-0005-0000-0000-0000E7770000}"/>
    <cellStyle name="Total 4 3 2 2 3" xfId="14659" xr:uid="{00000000-0005-0000-0000-0000E8770000}"/>
    <cellStyle name="Total 4 3 2 2 3 2" xfId="29491" xr:uid="{00000000-0005-0000-0000-0000E9770000}"/>
    <cellStyle name="Total 4 3 2 2 4" xfId="11255" xr:uid="{00000000-0005-0000-0000-0000EA770000}"/>
    <cellStyle name="Total 4 3 2 2 4 2" xfId="26087" xr:uid="{00000000-0005-0000-0000-0000EB770000}"/>
    <cellStyle name="Total 4 3 2 3" xfId="5012" xr:uid="{00000000-0005-0000-0000-0000EC770000}"/>
    <cellStyle name="Total 4 3 2 3 2" xfId="9051" xr:uid="{00000000-0005-0000-0000-0000ED770000}"/>
    <cellStyle name="Total 4 3 2 3 2 2" xfId="17989" xr:uid="{00000000-0005-0000-0000-0000EE770000}"/>
    <cellStyle name="Total 4 3 2 3 2 2 2" xfId="32821" xr:uid="{00000000-0005-0000-0000-0000EF770000}"/>
    <cellStyle name="Total 4 3 2 3 2 3" xfId="19571" xr:uid="{00000000-0005-0000-0000-0000F0770000}"/>
    <cellStyle name="Total 4 3 2 3 3" xfId="15334" xr:uid="{00000000-0005-0000-0000-0000F1770000}"/>
    <cellStyle name="Total 4 3 2 3 3 2" xfId="30166" xr:uid="{00000000-0005-0000-0000-0000F2770000}"/>
    <cellStyle name="Total 4 3 2 3 4" xfId="11590" xr:uid="{00000000-0005-0000-0000-0000F3770000}"/>
    <cellStyle name="Total 4 3 2 3 4 2" xfId="26422" xr:uid="{00000000-0005-0000-0000-0000F4770000}"/>
    <cellStyle name="Total 4 3 2 4" xfId="3002" xr:uid="{00000000-0005-0000-0000-0000F5770000}"/>
    <cellStyle name="Total 4 3 2 4 2" xfId="7082" xr:uid="{00000000-0005-0000-0000-0000F6770000}"/>
    <cellStyle name="Total 4 3 2 4 2 2" xfId="16881" xr:uid="{00000000-0005-0000-0000-0000F7770000}"/>
    <cellStyle name="Total 4 3 2 4 2 2 2" xfId="31713" xr:uid="{00000000-0005-0000-0000-0000F8770000}"/>
    <cellStyle name="Total 4 3 2 4 2 3" xfId="18863" xr:uid="{00000000-0005-0000-0000-0000F9770000}"/>
    <cellStyle name="Total 4 3 2 4 3" xfId="13340" xr:uid="{00000000-0005-0000-0000-0000FA770000}"/>
    <cellStyle name="Total 4 3 2 4 3 2" xfId="28172" xr:uid="{00000000-0005-0000-0000-0000FB770000}"/>
    <cellStyle name="Total 4 3 2 4 4" xfId="10536" xr:uid="{00000000-0005-0000-0000-0000FC770000}"/>
    <cellStyle name="Total 4 3 2 4 4 2" xfId="25368" xr:uid="{00000000-0005-0000-0000-0000FD770000}"/>
    <cellStyle name="Total 4 3 2 5" xfId="6174" xr:uid="{00000000-0005-0000-0000-0000FE770000}"/>
    <cellStyle name="Total 4 3 2 5 2" xfId="16361" xr:uid="{00000000-0005-0000-0000-0000FF770000}"/>
    <cellStyle name="Total 4 3 2 5 2 2" xfId="31193" xr:uid="{00000000-0005-0000-0000-000000780000}"/>
    <cellStyle name="Total 4 3 2 5 3" xfId="18504" xr:uid="{00000000-0005-0000-0000-000001780000}"/>
    <cellStyle name="Total 4 3 2 6" xfId="12431" xr:uid="{00000000-0005-0000-0000-000002780000}"/>
    <cellStyle name="Total 4 3 2 6 2" xfId="27263" xr:uid="{00000000-0005-0000-0000-000003780000}"/>
    <cellStyle name="Total 4 3 2 7" xfId="10013" xr:uid="{00000000-0005-0000-0000-000004780000}"/>
    <cellStyle name="Total 4 3 2 7 2" xfId="24845" xr:uid="{00000000-0005-0000-0000-000005780000}"/>
    <cellStyle name="Total 4 3 3" xfId="3156" xr:uid="{00000000-0005-0000-0000-000006780000}"/>
    <cellStyle name="Total 4 3 3 2" xfId="7220" xr:uid="{00000000-0005-0000-0000-000007780000}"/>
    <cellStyle name="Total 4 3 3 2 2" xfId="16998" xr:uid="{00000000-0005-0000-0000-000008780000}"/>
    <cellStyle name="Total 4 3 3 2 2 2" xfId="31830" xr:uid="{00000000-0005-0000-0000-000009780000}"/>
    <cellStyle name="Total 4 3 3 2 3" xfId="18945" xr:uid="{00000000-0005-0000-0000-00000A780000}"/>
    <cellStyle name="Total 4 3 3 3" xfId="13494" xr:uid="{00000000-0005-0000-0000-00000B780000}"/>
    <cellStyle name="Total 4 3 3 3 2" xfId="28326" xr:uid="{00000000-0005-0000-0000-00000C780000}"/>
    <cellStyle name="Total 4 3 3 4" xfId="10650" xr:uid="{00000000-0005-0000-0000-00000D780000}"/>
    <cellStyle name="Total 4 3 3 4 2" xfId="25482" xr:uid="{00000000-0005-0000-0000-00000E780000}"/>
    <cellStyle name="Total 4 3 4" xfId="4592" xr:uid="{00000000-0005-0000-0000-00000F780000}"/>
    <cellStyle name="Total 4 3 4 2" xfId="8631" xr:uid="{00000000-0005-0000-0000-000010780000}"/>
    <cellStyle name="Total 4 3 4 2 2" xfId="17749" xr:uid="{00000000-0005-0000-0000-000011780000}"/>
    <cellStyle name="Total 4 3 4 2 2 2" xfId="32581" xr:uid="{00000000-0005-0000-0000-000012780000}"/>
    <cellStyle name="Total 4 3 4 2 3" xfId="19411" xr:uid="{00000000-0005-0000-0000-000013780000}"/>
    <cellStyle name="Total 4 3 4 3" xfId="14919" xr:uid="{00000000-0005-0000-0000-000014780000}"/>
    <cellStyle name="Total 4 3 4 3 2" xfId="29751" xr:uid="{00000000-0005-0000-0000-000015780000}"/>
    <cellStyle name="Total 4 3 4 4" xfId="11355" xr:uid="{00000000-0005-0000-0000-000016780000}"/>
    <cellStyle name="Total 4 3 4 4 2" xfId="26187" xr:uid="{00000000-0005-0000-0000-000017780000}"/>
    <cellStyle name="Total 4 3 5" xfId="2582" xr:uid="{00000000-0005-0000-0000-000018780000}"/>
    <cellStyle name="Total 4 3 5 2" xfId="6688" xr:uid="{00000000-0005-0000-0000-000019780000}"/>
    <cellStyle name="Total 4 3 5 2 2" xfId="16646" xr:uid="{00000000-0005-0000-0000-00001A780000}"/>
    <cellStyle name="Total 4 3 5 2 2 2" xfId="31478" xr:uid="{00000000-0005-0000-0000-00001B780000}"/>
    <cellStyle name="Total 4 3 5 2 3" xfId="18699" xr:uid="{00000000-0005-0000-0000-00001C780000}"/>
    <cellStyle name="Total 4 3 5 3" xfId="12920" xr:uid="{00000000-0005-0000-0000-00001D780000}"/>
    <cellStyle name="Total 4 3 5 3 2" xfId="27752" xr:uid="{00000000-0005-0000-0000-00001E780000}"/>
    <cellStyle name="Total 4 3 5 4" xfId="10296" xr:uid="{00000000-0005-0000-0000-00001F780000}"/>
    <cellStyle name="Total 4 3 5 4 2" xfId="25128" xr:uid="{00000000-0005-0000-0000-000020780000}"/>
    <cellStyle name="Total 4 3 6" xfId="5705" xr:uid="{00000000-0005-0000-0000-000021780000}"/>
    <cellStyle name="Total 4 3 6 2" xfId="15940" xr:uid="{00000000-0005-0000-0000-000022780000}"/>
    <cellStyle name="Total 4 3 6 2 2" xfId="30772" xr:uid="{00000000-0005-0000-0000-000023780000}"/>
    <cellStyle name="Total 4 3 6 3" xfId="18341" xr:uid="{00000000-0005-0000-0000-000024780000}"/>
    <cellStyle name="Total 4 3 7" xfId="11960" xr:uid="{00000000-0005-0000-0000-000025780000}"/>
    <cellStyle name="Total 4 3 7 2" xfId="26792" xr:uid="{00000000-0005-0000-0000-000026780000}"/>
    <cellStyle name="Total 4 3 8" xfId="9618" xr:uid="{00000000-0005-0000-0000-000027780000}"/>
    <cellStyle name="Total 4 3 8 2" xfId="19920" xr:uid="{00000000-0005-0000-0000-000028780000}"/>
    <cellStyle name="Total 4 4" xfId="1600" xr:uid="{00000000-0005-0000-0000-000029780000}"/>
    <cellStyle name="Total 4 4 2" xfId="2097" xr:uid="{00000000-0005-0000-0000-00002A780000}"/>
    <cellStyle name="Total 4 4 2 2" xfId="3532" xr:uid="{00000000-0005-0000-0000-00002B780000}"/>
    <cellStyle name="Total 4 4 2 2 2" xfId="7594" xr:uid="{00000000-0005-0000-0000-00002C780000}"/>
    <cellStyle name="Total 4 4 2 2 2 2" xfId="17239" xr:uid="{00000000-0005-0000-0000-00002D780000}"/>
    <cellStyle name="Total 4 4 2 2 2 2 2" xfId="32071" xr:uid="{00000000-0005-0000-0000-00002E780000}"/>
    <cellStyle name="Total 4 4 2 2 2 3" xfId="19067" xr:uid="{00000000-0005-0000-0000-00002F780000}"/>
    <cellStyle name="Total 4 4 2 2 3" xfId="13869" xr:uid="{00000000-0005-0000-0000-000030780000}"/>
    <cellStyle name="Total 4 4 2 2 3 2" xfId="28701" xr:uid="{00000000-0005-0000-0000-000031780000}"/>
    <cellStyle name="Total 4 4 2 2 4" xfId="10857" xr:uid="{00000000-0005-0000-0000-000032780000}"/>
    <cellStyle name="Total 4 4 2 2 4 2" xfId="25689" xr:uid="{00000000-0005-0000-0000-000033780000}"/>
    <cellStyle name="Total 4 4 2 3" xfId="5065" xr:uid="{00000000-0005-0000-0000-000034780000}"/>
    <cellStyle name="Total 4 4 2 3 2" xfId="9104" xr:uid="{00000000-0005-0000-0000-000035780000}"/>
    <cellStyle name="Total 4 4 2 3 2 2" xfId="18037" xr:uid="{00000000-0005-0000-0000-000036780000}"/>
    <cellStyle name="Total 4 4 2 3 2 2 2" xfId="32869" xr:uid="{00000000-0005-0000-0000-000037780000}"/>
    <cellStyle name="Total 4 4 2 3 2 3" xfId="19603" xr:uid="{00000000-0005-0000-0000-000038780000}"/>
    <cellStyle name="Total 4 4 2 3 3" xfId="15386" xr:uid="{00000000-0005-0000-0000-000039780000}"/>
    <cellStyle name="Total 4 4 2 3 3 2" xfId="30218" xr:uid="{00000000-0005-0000-0000-00003A780000}"/>
    <cellStyle name="Total 4 4 2 3 4" xfId="11637" xr:uid="{00000000-0005-0000-0000-00003B780000}"/>
    <cellStyle name="Total 4 4 2 3 4 2" xfId="26469" xr:uid="{00000000-0005-0000-0000-00003C780000}"/>
    <cellStyle name="Total 4 4 2 4" xfId="3055" xr:uid="{00000000-0005-0000-0000-00003D780000}"/>
    <cellStyle name="Total 4 4 2 4 2" xfId="7130" xr:uid="{00000000-0005-0000-0000-00003E780000}"/>
    <cellStyle name="Total 4 4 2 4 2 2" xfId="16928" xr:uid="{00000000-0005-0000-0000-00003F780000}"/>
    <cellStyle name="Total 4 4 2 4 2 2 2" xfId="31760" xr:uid="{00000000-0005-0000-0000-000040780000}"/>
    <cellStyle name="Total 4 4 2 4 2 3" xfId="18896" xr:uid="{00000000-0005-0000-0000-000041780000}"/>
    <cellStyle name="Total 4 4 2 4 3" xfId="13393" xr:uid="{00000000-0005-0000-0000-000042780000}"/>
    <cellStyle name="Total 4 4 2 4 3 2" xfId="28225" xr:uid="{00000000-0005-0000-0000-000043780000}"/>
    <cellStyle name="Total 4 4 2 4 4" xfId="10584" xr:uid="{00000000-0005-0000-0000-000044780000}"/>
    <cellStyle name="Total 4 4 2 4 4 2" xfId="25416" xr:uid="{00000000-0005-0000-0000-000045780000}"/>
    <cellStyle name="Total 4 4 2 5" xfId="6222" xr:uid="{00000000-0005-0000-0000-000046780000}"/>
    <cellStyle name="Total 4 4 2 5 2" xfId="16408" xr:uid="{00000000-0005-0000-0000-000047780000}"/>
    <cellStyle name="Total 4 4 2 5 2 2" xfId="31240" xr:uid="{00000000-0005-0000-0000-000048780000}"/>
    <cellStyle name="Total 4 4 2 5 3" xfId="18537" xr:uid="{00000000-0005-0000-0000-000049780000}"/>
    <cellStyle name="Total 4 4 2 6" xfId="12478" xr:uid="{00000000-0005-0000-0000-00004A780000}"/>
    <cellStyle name="Total 4 4 2 6 2" xfId="27310" xr:uid="{00000000-0005-0000-0000-00004B780000}"/>
    <cellStyle name="Total 4 4 2 7" xfId="10060" xr:uid="{00000000-0005-0000-0000-00004C780000}"/>
    <cellStyle name="Total 4 4 2 7 2" xfId="24892" xr:uid="{00000000-0005-0000-0000-00004D780000}"/>
    <cellStyle name="Total 4 4 3" xfId="3582" xr:uid="{00000000-0005-0000-0000-00004E780000}"/>
    <cellStyle name="Total 4 4 3 2" xfId="7644" xr:uid="{00000000-0005-0000-0000-00004F780000}"/>
    <cellStyle name="Total 4 4 3 2 2" xfId="17268" xr:uid="{00000000-0005-0000-0000-000050780000}"/>
    <cellStyle name="Total 4 4 3 2 2 2" xfId="32100" xr:uid="{00000000-0005-0000-0000-000051780000}"/>
    <cellStyle name="Total 4 4 3 2 3" xfId="19090" xr:uid="{00000000-0005-0000-0000-000052780000}"/>
    <cellStyle name="Total 4 4 3 3" xfId="13918" xr:uid="{00000000-0005-0000-0000-000053780000}"/>
    <cellStyle name="Total 4 4 3 3 2" xfId="28750" xr:uid="{00000000-0005-0000-0000-000054780000}"/>
    <cellStyle name="Total 4 4 3 4" xfId="10885" xr:uid="{00000000-0005-0000-0000-000055780000}"/>
    <cellStyle name="Total 4 4 3 4 2" xfId="25717" xr:uid="{00000000-0005-0000-0000-000056780000}"/>
    <cellStyle name="Total 4 4 4" xfId="4645" xr:uid="{00000000-0005-0000-0000-000057780000}"/>
    <cellStyle name="Total 4 4 4 2" xfId="8684" xr:uid="{00000000-0005-0000-0000-000058780000}"/>
    <cellStyle name="Total 4 4 4 2 2" xfId="17797" xr:uid="{00000000-0005-0000-0000-000059780000}"/>
    <cellStyle name="Total 4 4 4 2 2 2" xfId="32629" xr:uid="{00000000-0005-0000-0000-00005A780000}"/>
    <cellStyle name="Total 4 4 4 2 3" xfId="19443" xr:uid="{00000000-0005-0000-0000-00005B780000}"/>
    <cellStyle name="Total 4 4 4 3" xfId="14971" xr:uid="{00000000-0005-0000-0000-00005C780000}"/>
    <cellStyle name="Total 4 4 4 3 2" xfId="29803" xr:uid="{00000000-0005-0000-0000-00005D780000}"/>
    <cellStyle name="Total 4 4 4 4" xfId="11402" xr:uid="{00000000-0005-0000-0000-00005E780000}"/>
    <cellStyle name="Total 4 4 4 4 2" xfId="26234" xr:uid="{00000000-0005-0000-0000-00005F780000}"/>
    <cellStyle name="Total 4 4 5" xfId="2635" xr:uid="{00000000-0005-0000-0000-000060780000}"/>
    <cellStyle name="Total 4 4 5 2" xfId="6736" xr:uid="{00000000-0005-0000-0000-000061780000}"/>
    <cellStyle name="Total 4 4 5 2 2" xfId="16693" xr:uid="{00000000-0005-0000-0000-000062780000}"/>
    <cellStyle name="Total 4 4 5 2 2 2" xfId="31525" xr:uid="{00000000-0005-0000-0000-000063780000}"/>
    <cellStyle name="Total 4 4 5 2 3" xfId="18732" xr:uid="{00000000-0005-0000-0000-000064780000}"/>
    <cellStyle name="Total 4 4 5 3" xfId="12973" xr:uid="{00000000-0005-0000-0000-000065780000}"/>
    <cellStyle name="Total 4 4 5 3 2" xfId="27805" xr:uid="{00000000-0005-0000-0000-000066780000}"/>
    <cellStyle name="Total 4 4 5 4" xfId="10344" xr:uid="{00000000-0005-0000-0000-000067780000}"/>
    <cellStyle name="Total 4 4 5 4 2" xfId="25176" xr:uid="{00000000-0005-0000-0000-000068780000}"/>
    <cellStyle name="Total 4 4 6" xfId="5752" xr:uid="{00000000-0005-0000-0000-000069780000}"/>
    <cellStyle name="Total 4 4 6 2" xfId="15987" xr:uid="{00000000-0005-0000-0000-00006A780000}"/>
    <cellStyle name="Total 4 4 6 2 2" xfId="30819" xr:uid="{00000000-0005-0000-0000-00006B780000}"/>
    <cellStyle name="Total 4 4 6 3" xfId="18373" xr:uid="{00000000-0005-0000-0000-00006C780000}"/>
    <cellStyle name="Total 4 4 7" xfId="12007" xr:uid="{00000000-0005-0000-0000-00006D780000}"/>
    <cellStyle name="Total 4 4 7 2" xfId="26839" xr:uid="{00000000-0005-0000-0000-00006E780000}"/>
    <cellStyle name="Total 4 4 8" xfId="9666" xr:uid="{00000000-0005-0000-0000-00006F780000}"/>
    <cellStyle name="Total 4 4 8 2" xfId="19967" xr:uid="{00000000-0005-0000-0000-000070780000}"/>
    <cellStyle name="Total 4 5" xfId="1650" xr:uid="{00000000-0005-0000-0000-000071780000}"/>
    <cellStyle name="Total 4 5 2" xfId="2147" xr:uid="{00000000-0005-0000-0000-000072780000}"/>
    <cellStyle name="Total 4 5 2 2" xfId="4314" xr:uid="{00000000-0005-0000-0000-000073780000}"/>
    <cellStyle name="Total 4 5 2 2 2" xfId="8353" xr:uid="{00000000-0005-0000-0000-000074780000}"/>
    <cellStyle name="Total 4 5 2 2 2 2" xfId="17632" xr:uid="{00000000-0005-0000-0000-000075780000}"/>
    <cellStyle name="Total 4 5 2 2 2 2 2" xfId="32464" xr:uid="{00000000-0005-0000-0000-000076780000}"/>
    <cellStyle name="Total 4 5 2 2 2 3" xfId="19334" xr:uid="{00000000-0005-0000-0000-000077780000}"/>
    <cellStyle name="Total 4 5 2 2 3" xfId="14645" xr:uid="{00000000-0005-0000-0000-000078780000}"/>
    <cellStyle name="Total 4 5 2 2 3 2" xfId="29477" xr:uid="{00000000-0005-0000-0000-000079780000}"/>
    <cellStyle name="Total 4 5 2 2 4" xfId="11242" xr:uid="{00000000-0005-0000-0000-00007A780000}"/>
    <cellStyle name="Total 4 5 2 2 4 2" xfId="26074" xr:uid="{00000000-0005-0000-0000-00007B780000}"/>
    <cellStyle name="Total 4 5 2 3" xfId="5115" xr:uid="{00000000-0005-0000-0000-00007C780000}"/>
    <cellStyle name="Total 4 5 2 3 2" xfId="9154" xr:uid="{00000000-0005-0000-0000-00007D780000}"/>
    <cellStyle name="Total 4 5 2 3 2 2" xfId="18082" xr:uid="{00000000-0005-0000-0000-00007E780000}"/>
    <cellStyle name="Total 4 5 2 3 2 2 2" xfId="32914" xr:uid="{00000000-0005-0000-0000-00007F780000}"/>
    <cellStyle name="Total 4 5 2 3 2 3" xfId="19635" xr:uid="{00000000-0005-0000-0000-000080780000}"/>
    <cellStyle name="Total 4 5 2 3 3" xfId="15435" xr:uid="{00000000-0005-0000-0000-000081780000}"/>
    <cellStyle name="Total 4 5 2 3 3 2" xfId="30267" xr:uid="{00000000-0005-0000-0000-000082780000}"/>
    <cellStyle name="Total 4 5 2 3 4" xfId="11681" xr:uid="{00000000-0005-0000-0000-000083780000}"/>
    <cellStyle name="Total 4 5 2 3 4 2" xfId="26513" xr:uid="{00000000-0005-0000-0000-000084780000}"/>
    <cellStyle name="Total 4 5 2 4" xfId="3105" xr:uid="{00000000-0005-0000-0000-000085780000}"/>
    <cellStyle name="Total 4 5 2 4 2" xfId="7175" xr:uid="{00000000-0005-0000-0000-000086780000}"/>
    <cellStyle name="Total 4 5 2 4 2 2" xfId="16972" xr:uid="{00000000-0005-0000-0000-000087780000}"/>
    <cellStyle name="Total 4 5 2 4 2 2 2" xfId="31804" xr:uid="{00000000-0005-0000-0000-000088780000}"/>
    <cellStyle name="Total 4 5 2 4 2 3" xfId="18929" xr:uid="{00000000-0005-0000-0000-000089780000}"/>
    <cellStyle name="Total 4 5 2 4 3" xfId="13443" xr:uid="{00000000-0005-0000-0000-00008A780000}"/>
    <cellStyle name="Total 4 5 2 4 3 2" xfId="28275" xr:uid="{00000000-0005-0000-0000-00008B780000}"/>
    <cellStyle name="Total 4 5 2 4 4" xfId="10629" xr:uid="{00000000-0005-0000-0000-00008C780000}"/>
    <cellStyle name="Total 4 5 2 4 4 2" xfId="25461" xr:uid="{00000000-0005-0000-0000-00008D780000}"/>
    <cellStyle name="Total 4 5 2 5" xfId="6267" xr:uid="{00000000-0005-0000-0000-00008E780000}"/>
    <cellStyle name="Total 4 5 2 5 2" xfId="16452" xr:uid="{00000000-0005-0000-0000-00008F780000}"/>
    <cellStyle name="Total 4 5 2 5 2 2" xfId="31284" xr:uid="{00000000-0005-0000-0000-000090780000}"/>
    <cellStyle name="Total 4 5 2 5 3" xfId="18570" xr:uid="{00000000-0005-0000-0000-000091780000}"/>
    <cellStyle name="Total 4 5 2 6" xfId="12522" xr:uid="{00000000-0005-0000-0000-000092780000}"/>
    <cellStyle name="Total 4 5 2 6 2" xfId="27354" xr:uid="{00000000-0005-0000-0000-000093780000}"/>
    <cellStyle name="Total 4 5 2 7" xfId="10104" xr:uid="{00000000-0005-0000-0000-000094780000}"/>
    <cellStyle name="Total 4 5 2 7 2" xfId="24936" xr:uid="{00000000-0005-0000-0000-000095780000}"/>
    <cellStyle name="Total 4 5 3" xfId="3976" xr:uid="{00000000-0005-0000-0000-000096780000}"/>
    <cellStyle name="Total 4 5 3 2" xfId="8025" xr:uid="{00000000-0005-0000-0000-000097780000}"/>
    <cellStyle name="Total 4 5 3 2 2" xfId="17456" xr:uid="{00000000-0005-0000-0000-000098780000}"/>
    <cellStyle name="Total 4 5 3 2 2 2" xfId="32288" xr:uid="{00000000-0005-0000-0000-000099780000}"/>
    <cellStyle name="Total 4 5 3 2 3" xfId="19220" xr:uid="{00000000-0005-0000-0000-00009A780000}"/>
    <cellStyle name="Total 4 5 3 3" xfId="14309" xr:uid="{00000000-0005-0000-0000-00009B780000}"/>
    <cellStyle name="Total 4 5 3 3 2" xfId="29141" xr:uid="{00000000-0005-0000-0000-00009C780000}"/>
    <cellStyle name="Total 4 5 3 4" xfId="11072" xr:uid="{00000000-0005-0000-0000-00009D780000}"/>
    <cellStyle name="Total 4 5 3 4 2" xfId="25904" xr:uid="{00000000-0005-0000-0000-00009E780000}"/>
    <cellStyle name="Total 4 5 4" xfId="4695" xr:uid="{00000000-0005-0000-0000-00009F780000}"/>
    <cellStyle name="Total 4 5 4 2" xfId="8734" xr:uid="{00000000-0005-0000-0000-0000A0780000}"/>
    <cellStyle name="Total 4 5 4 2 2" xfId="17842" xr:uid="{00000000-0005-0000-0000-0000A1780000}"/>
    <cellStyle name="Total 4 5 4 2 2 2" xfId="32674" xr:uid="{00000000-0005-0000-0000-0000A2780000}"/>
    <cellStyle name="Total 4 5 4 2 3" xfId="19475" xr:uid="{00000000-0005-0000-0000-0000A3780000}"/>
    <cellStyle name="Total 4 5 4 3" xfId="15020" xr:uid="{00000000-0005-0000-0000-0000A4780000}"/>
    <cellStyle name="Total 4 5 4 3 2" xfId="29852" xr:uid="{00000000-0005-0000-0000-0000A5780000}"/>
    <cellStyle name="Total 4 5 4 4" xfId="11446" xr:uid="{00000000-0005-0000-0000-0000A6780000}"/>
    <cellStyle name="Total 4 5 4 4 2" xfId="26278" xr:uid="{00000000-0005-0000-0000-0000A7780000}"/>
    <cellStyle name="Total 4 5 5" xfId="2685" xr:uid="{00000000-0005-0000-0000-0000A8780000}"/>
    <cellStyle name="Total 4 5 5 2" xfId="6781" xr:uid="{00000000-0005-0000-0000-0000A9780000}"/>
    <cellStyle name="Total 4 5 5 2 2" xfId="16737" xr:uid="{00000000-0005-0000-0000-0000AA780000}"/>
    <cellStyle name="Total 4 5 5 2 2 2" xfId="31569" xr:uid="{00000000-0005-0000-0000-0000AB780000}"/>
    <cellStyle name="Total 4 5 5 2 3" xfId="18765" xr:uid="{00000000-0005-0000-0000-0000AC780000}"/>
    <cellStyle name="Total 4 5 5 3" xfId="13023" xr:uid="{00000000-0005-0000-0000-0000AD780000}"/>
    <cellStyle name="Total 4 5 5 3 2" xfId="27855" xr:uid="{00000000-0005-0000-0000-0000AE780000}"/>
    <cellStyle name="Total 4 5 5 4" xfId="10389" xr:uid="{00000000-0005-0000-0000-0000AF780000}"/>
    <cellStyle name="Total 4 5 5 4 2" xfId="25221" xr:uid="{00000000-0005-0000-0000-0000B0780000}"/>
    <cellStyle name="Total 4 5 6" xfId="5797" xr:uid="{00000000-0005-0000-0000-0000B1780000}"/>
    <cellStyle name="Total 4 5 6 2" xfId="16031" xr:uid="{00000000-0005-0000-0000-0000B2780000}"/>
    <cellStyle name="Total 4 5 6 2 2" xfId="30863" xr:uid="{00000000-0005-0000-0000-0000B3780000}"/>
    <cellStyle name="Total 4 5 6 3" xfId="18406" xr:uid="{00000000-0005-0000-0000-0000B4780000}"/>
    <cellStyle name="Total 4 5 7" xfId="12051" xr:uid="{00000000-0005-0000-0000-0000B5780000}"/>
    <cellStyle name="Total 4 5 7 2" xfId="26883" xr:uid="{00000000-0005-0000-0000-0000B6780000}"/>
    <cellStyle name="Total 4 5 8" xfId="9711" xr:uid="{00000000-0005-0000-0000-0000B7780000}"/>
    <cellStyle name="Total 4 5 8 2" xfId="20011" xr:uid="{00000000-0005-0000-0000-0000B8780000}"/>
    <cellStyle name="Total 4 6" xfId="1801" xr:uid="{00000000-0005-0000-0000-0000B9780000}"/>
    <cellStyle name="Total 4 6 2" xfId="3701" xr:uid="{00000000-0005-0000-0000-0000BA780000}"/>
    <cellStyle name="Total 4 6 2 2" xfId="7757" xr:uid="{00000000-0005-0000-0000-0000BB780000}"/>
    <cellStyle name="Total 4 6 2 2 2" xfId="17324" xr:uid="{00000000-0005-0000-0000-0000BC780000}"/>
    <cellStyle name="Total 4 6 2 2 2 2" xfId="32156" xr:uid="{00000000-0005-0000-0000-0000BD780000}"/>
    <cellStyle name="Total 4 6 2 2 3" xfId="19127" xr:uid="{00000000-0005-0000-0000-0000BE780000}"/>
    <cellStyle name="Total 4 6 2 3" xfId="14036" xr:uid="{00000000-0005-0000-0000-0000BF780000}"/>
    <cellStyle name="Total 4 6 2 3 2" xfId="28868" xr:uid="{00000000-0005-0000-0000-0000C0780000}"/>
    <cellStyle name="Total 4 6 2 4" xfId="10942" xr:uid="{00000000-0005-0000-0000-0000C1780000}"/>
    <cellStyle name="Total 4 6 2 4 2" xfId="25774" xr:uid="{00000000-0005-0000-0000-0000C2780000}"/>
    <cellStyle name="Total 4 6 3" xfId="4779" xr:uid="{00000000-0005-0000-0000-0000C3780000}"/>
    <cellStyle name="Total 4 6 3 2" xfId="8818" xr:uid="{00000000-0005-0000-0000-0000C4780000}"/>
    <cellStyle name="Total 4 6 3 2 2" xfId="17890" xr:uid="{00000000-0005-0000-0000-0000C5780000}"/>
    <cellStyle name="Total 4 6 3 2 2 2" xfId="32722" xr:uid="{00000000-0005-0000-0000-0000C6780000}"/>
    <cellStyle name="Total 4 6 3 2 3" xfId="19507" xr:uid="{00000000-0005-0000-0000-0000C7780000}"/>
    <cellStyle name="Total 4 6 3 3" xfId="15103" xr:uid="{00000000-0005-0000-0000-0000C8780000}"/>
    <cellStyle name="Total 4 6 3 3 2" xfId="29935" xr:uid="{00000000-0005-0000-0000-0000C9780000}"/>
    <cellStyle name="Total 4 6 3 4" xfId="11493" xr:uid="{00000000-0005-0000-0000-0000CA780000}"/>
    <cellStyle name="Total 4 6 3 4 2" xfId="26325" xr:uid="{00000000-0005-0000-0000-0000CB780000}"/>
    <cellStyle name="Total 4 6 4" xfId="2769" xr:uid="{00000000-0005-0000-0000-0000CC780000}"/>
    <cellStyle name="Total 4 6 4 2" xfId="6860" xr:uid="{00000000-0005-0000-0000-0000CD780000}"/>
    <cellStyle name="Total 4 6 4 2 2" xfId="16784" xr:uid="{00000000-0005-0000-0000-0000CE780000}"/>
    <cellStyle name="Total 4 6 4 2 2 2" xfId="31616" xr:uid="{00000000-0005-0000-0000-0000CF780000}"/>
    <cellStyle name="Total 4 6 4 2 3" xfId="18798" xr:uid="{00000000-0005-0000-0000-0000D0780000}"/>
    <cellStyle name="Total 4 6 4 3" xfId="13107" xr:uid="{00000000-0005-0000-0000-0000D1780000}"/>
    <cellStyle name="Total 4 6 4 3 2" xfId="27939" xr:uid="{00000000-0005-0000-0000-0000D2780000}"/>
    <cellStyle name="Total 4 6 4 4" xfId="10437" xr:uid="{00000000-0005-0000-0000-0000D3780000}"/>
    <cellStyle name="Total 4 6 4 4 2" xfId="25269" xr:uid="{00000000-0005-0000-0000-0000D4780000}"/>
    <cellStyle name="Total 4 6 5" xfId="5933" xr:uid="{00000000-0005-0000-0000-0000D5780000}"/>
    <cellStyle name="Total 4 6 5 2" xfId="16125" xr:uid="{00000000-0005-0000-0000-0000D6780000}"/>
    <cellStyle name="Total 4 6 5 2 2" xfId="30957" xr:uid="{00000000-0005-0000-0000-0000D7780000}"/>
    <cellStyle name="Total 4 6 5 3" xfId="18440" xr:uid="{00000000-0005-0000-0000-0000D8780000}"/>
    <cellStyle name="Total 4 6 6" xfId="12195" xr:uid="{00000000-0005-0000-0000-0000D9780000}"/>
    <cellStyle name="Total 4 6 6 2" xfId="27027" xr:uid="{00000000-0005-0000-0000-0000DA780000}"/>
    <cellStyle name="Total 4 6 7" xfId="9791" xr:uid="{00000000-0005-0000-0000-0000DB780000}"/>
    <cellStyle name="Total 4 6 7 2" xfId="24748" xr:uid="{00000000-0005-0000-0000-0000DC780000}"/>
    <cellStyle name="Total 4 7" xfId="2165" xr:uid="{00000000-0005-0000-0000-0000DD780000}"/>
    <cellStyle name="Total 4 7 2" xfId="3418" xr:uid="{00000000-0005-0000-0000-0000DE780000}"/>
    <cellStyle name="Total 4 7 2 2" xfId="7481" xr:uid="{00000000-0005-0000-0000-0000DF780000}"/>
    <cellStyle name="Total 4 7 2 2 2" xfId="17179" xr:uid="{00000000-0005-0000-0000-0000E0780000}"/>
    <cellStyle name="Total 4 7 2 2 2 2" xfId="32011" xr:uid="{00000000-0005-0000-0000-0000E1780000}"/>
    <cellStyle name="Total 4 7 2 2 3" xfId="19028" xr:uid="{00000000-0005-0000-0000-0000E2780000}"/>
    <cellStyle name="Total 4 7 2 3" xfId="13755" xr:uid="{00000000-0005-0000-0000-0000E3780000}"/>
    <cellStyle name="Total 4 7 2 3 2" xfId="28587" xr:uid="{00000000-0005-0000-0000-0000E4780000}"/>
    <cellStyle name="Total 4 7 2 4" xfId="10798" xr:uid="{00000000-0005-0000-0000-0000E5780000}"/>
    <cellStyle name="Total 4 7 2 4 2" xfId="25630" xr:uid="{00000000-0005-0000-0000-0000E6780000}"/>
    <cellStyle name="Total 4 7 3" xfId="5133" xr:uid="{00000000-0005-0000-0000-0000E7780000}"/>
    <cellStyle name="Total 4 7 3 2" xfId="9172" xr:uid="{00000000-0005-0000-0000-0000E8780000}"/>
    <cellStyle name="Total 4 7 3 2 2" xfId="18095" xr:uid="{00000000-0005-0000-0000-0000E9780000}"/>
    <cellStyle name="Total 4 7 3 2 2 2" xfId="32927" xr:uid="{00000000-0005-0000-0000-0000EA780000}"/>
    <cellStyle name="Total 4 7 3 2 3" xfId="19646" xr:uid="{00000000-0005-0000-0000-0000EB780000}"/>
    <cellStyle name="Total 4 7 3 3" xfId="15451" xr:uid="{00000000-0005-0000-0000-0000EC780000}"/>
    <cellStyle name="Total 4 7 3 3 2" xfId="30283" xr:uid="{00000000-0005-0000-0000-0000ED780000}"/>
    <cellStyle name="Total 4 7 3 4" xfId="11692" xr:uid="{00000000-0005-0000-0000-0000EE780000}"/>
    <cellStyle name="Total 4 7 3 4 2" xfId="26524" xr:uid="{00000000-0005-0000-0000-0000EF780000}"/>
    <cellStyle name="Total 4 7 4" xfId="4163" xr:uid="{00000000-0005-0000-0000-0000F0780000}"/>
    <cellStyle name="Total 4 7 4 2" xfId="8204" xr:uid="{00000000-0005-0000-0000-0000F1780000}"/>
    <cellStyle name="Total 4 7 4 2 2" xfId="17551" xr:uid="{00000000-0005-0000-0000-0000F2780000}"/>
    <cellStyle name="Total 4 7 4 2 2 2" xfId="32383" xr:uid="{00000000-0005-0000-0000-0000F3780000}"/>
    <cellStyle name="Total 4 7 4 2 3" xfId="19289" xr:uid="{00000000-0005-0000-0000-0000F4780000}"/>
    <cellStyle name="Total 4 7 4 3" xfId="14495" xr:uid="{00000000-0005-0000-0000-0000F5780000}"/>
    <cellStyle name="Total 4 7 4 3 2" xfId="29327" xr:uid="{00000000-0005-0000-0000-0000F6780000}"/>
    <cellStyle name="Total 4 7 4 4" xfId="11171" xr:uid="{00000000-0005-0000-0000-0000F7780000}"/>
    <cellStyle name="Total 4 7 4 4 2" xfId="26003" xr:uid="{00000000-0005-0000-0000-0000F8780000}"/>
    <cellStyle name="Total 4 7 5" xfId="6279" xr:uid="{00000000-0005-0000-0000-0000F9780000}"/>
    <cellStyle name="Total 4 7 5 2" xfId="16463" xr:uid="{00000000-0005-0000-0000-0000FA780000}"/>
    <cellStyle name="Total 4 7 5 2 2" xfId="31295" xr:uid="{00000000-0005-0000-0000-0000FB780000}"/>
    <cellStyle name="Total 4 7 5 3" xfId="18582" xr:uid="{00000000-0005-0000-0000-0000FC780000}"/>
    <cellStyle name="Total 4 7 6" xfId="12533" xr:uid="{00000000-0005-0000-0000-0000FD780000}"/>
    <cellStyle name="Total 4 7 6 2" xfId="27365" xr:uid="{00000000-0005-0000-0000-0000FE780000}"/>
    <cellStyle name="Total 4 7 7" xfId="10115" xr:uid="{00000000-0005-0000-0000-0000FF780000}"/>
    <cellStyle name="Total 4 7 7 2" xfId="24947" xr:uid="{00000000-0005-0000-0000-000000790000}"/>
    <cellStyle name="Total 4 8" xfId="3254" xr:uid="{00000000-0005-0000-0000-000001790000}"/>
    <cellStyle name="Total 4 8 2" xfId="7318" xr:uid="{00000000-0005-0000-0000-000002790000}"/>
    <cellStyle name="Total 4 8 2 2" xfId="17070" xr:uid="{00000000-0005-0000-0000-000003790000}"/>
    <cellStyle name="Total 4 8 2 2 2" xfId="31902" xr:uid="{00000000-0005-0000-0000-000004790000}"/>
    <cellStyle name="Total 4 8 2 3" xfId="18973" xr:uid="{00000000-0005-0000-0000-000005790000}"/>
    <cellStyle name="Total 4 8 3" xfId="13591" xr:uid="{00000000-0005-0000-0000-000006790000}"/>
    <cellStyle name="Total 4 8 3 2" xfId="28423" xr:uid="{00000000-0005-0000-0000-000007790000}"/>
    <cellStyle name="Total 4 8 4" xfId="10700" xr:uid="{00000000-0005-0000-0000-000008790000}"/>
    <cellStyle name="Total 4 8 4 2" xfId="25532" xr:uid="{00000000-0005-0000-0000-000009790000}"/>
    <cellStyle name="Total 4 9" xfId="3368" xr:uid="{00000000-0005-0000-0000-00000A790000}"/>
    <cellStyle name="Total 4 9 2" xfId="7431" xr:uid="{00000000-0005-0000-0000-00000B790000}"/>
    <cellStyle name="Total 4 9 2 2" xfId="17142" xr:uid="{00000000-0005-0000-0000-00000C790000}"/>
    <cellStyle name="Total 4 9 2 2 2" xfId="31974" xr:uid="{00000000-0005-0000-0000-00000D790000}"/>
    <cellStyle name="Total 4 9 2 3" xfId="19011" xr:uid="{00000000-0005-0000-0000-00000E790000}"/>
    <cellStyle name="Total 4 9 3" xfId="13705" xr:uid="{00000000-0005-0000-0000-00000F790000}"/>
    <cellStyle name="Total 4 9 3 2" xfId="28537" xr:uid="{00000000-0005-0000-0000-000010790000}"/>
    <cellStyle name="Total 4 9 4" xfId="10761" xr:uid="{00000000-0005-0000-0000-000011790000}"/>
    <cellStyle name="Total 4 9 4 2" xfId="25593" xr:uid="{00000000-0005-0000-0000-000012790000}"/>
    <cellStyle name="Total 5" xfId="1277" xr:uid="{00000000-0005-0000-0000-000013790000}"/>
    <cellStyle name="Total 5 10" xfId="2344" xr:uid="{00000000-0005-0000-0000-000014790000}"/>
    <cellStyle name="Total 5 10 2" xfId="6456" xr:uid="{00000000-0005-0000-0000-000015790000}"/>
    <cellStyle name="Total 5 10 2 2" xfId="16548" xr:uid="{00000000-0005-0000-0000-000016790000}"/>
    <cellStyle name="Total 5 10 2 2 2" xfId="31380" xr:uid="{00000000-0005-0000-0000-000017790000}"/>
    <cellStyle name="Total 5 10 2 3" xfId="18636" xr:uid="{00000000-0005-0000-0000-000018790000}"/>
    <cellStyle name="Total 5 10 3" xfId="12684" xr:uid="{00000000-0005-0000-0000-000019790000}"/>
    <cellStyle name="Total 5 10 3 2" xfId="27516" xr:uid="{00000000-0005-0000-0000-00001A790000}"/>
    <cellStyle name="Total 5 10 4" xfId="10199" xr:uid="{00000000-0005-0000-0000-00001B790000}"/>
    <cellStyle name="Total 5 10 4 2" xfId="25031" xr:uid="{00000000-0005-0000-0000-00001C790000}"/>
    <cellStyle name="Total 5 11" xfId="5306" xr:uid="{00000000-0005-0000-0000-00001D790000}"/>
    <cellStyle name="Total 5 11 2" xfId="9314" xr:uid="{00000000-0005-0000-0000-00001E790000}"/>
    <cellStyle name="Total 5 11 2 2" xfId="18181" xr:uid="{00000000-0005-0000-0000-00001F790000}"/>
    <cellStyle name="Total 5 11 2 2 2" xfId="33013" xr:uid="{00000000-0005-0000-0000-000020790000}"/>
    <cellStyle name="Total 5 11 2 3" xfId="19700" xr:uid="{00000000-0005-0000-0000-000021790000}"/>
    <cellStyle name="Total 5 11 3" xfId="15622" xr:uid="{00000000-0005-0000-0000-000022790000}"/>
    <cellStyle name="Total 5 11 3 2" xfId="30454" xr:uid="{00000000-0005-0000-0000-000023790000}"/>
    <cellStyle name="Total 5 12" xfId="5464" xr:uid="{00000000-0005-0000-0000-000024790000}"/>
    <cellStyle name="Total 5 12 2" xfId="15700" xr:uid="{00000000-0005-0000-0000-000025790000}"/>
    <cellStyle name="Total 5 12 2 2" xfId="30532" xr:uid="{00000000-0005-0000-0000-000026790000}"/>
    <cellStyle name="Total 5 12 3" xfId="18277" xr:uid="{00000000-0005-0000-0000-000027790000}"/>
    <cellStyle name="Total 5 13" xfId="9327" xr:uid="{00000000-0005-0000-0000-000028790000}"/>
    <cellStyle name="Total 5 13 2" xfId="24633" xr:uid="{00000000-0005-0000-0000-000029790000}"/>
    <cellStyle name="Total 5 14" xfId="5316" xr:uid="{00000000-0005-0000-0000-00002A790000}"/>
    <cellStyle name="Total 5 14 2" xfId="18190" xr:uid="{00000000-0005-0000-0000-00002B790000}"/>
    <cellStyle name="Total 5 2" xfId="1376" xr:uid="{00000000-0005-0000-0000-00002C790000}"/>
    <cellStyle name="Total 5 2 2" xfId="1880" xr:uid="{00000000-0005-0000-0000-00002D790000}"/>
    <cellStyle name="Total 5 2 2 2" xfId="3972" xr:uid="{00000000-0005-0000-0000-00002E790000}"/>
    <cellStyle name="Total 5 2 2 2 2" xfId="8021" xr:uid="{00000000-0005-0000-0000-00002F790000}"/>
    <cellStyle name="Total 5 2 2 2 2 2" xfId="17454" xr:uid="{00000000-0005-0000-0000-000030790000}"/>
    <cellStyle name="Total 5 2 2 2 2 2 2" xfId="32286" xr:uid="{00000000-0005-0000-0000-000031790000}"/>
    <cellStyle name="Total 5 2 2 2 2 3" xfId="19218" xr:uid="{00000000-0005-0000-0000-000032790000}"/>
    <cellStyle name="Total 5 2 2 2 3" xfId="14305" xr:uid="{00000000-0005-0000-0000-000033790000}"/>
    <cellStyle name="Total 5 2 2 2 3 2" xfId="29137" xr:uid="{00000000-0005-0000-0000-000034790000}"/>
    <cellStyle name="Total 5 2 2 2 4" xfId="11070" xr:uid="{00000000-0005-0000-0000-000035790000}"/>
    <cellStyle name="Total 5 2 2 2 4 2" xfId="25902" xr:uid="{00000000-0005-0000-0000-000036790000}"/>
    <cellStyle name="Total 5 2 2 3" xfId="4858" xr:uid="{00000000-0005-0000-0000-000037790000}"/>
    <cellStyle name="Total 5 2 2 3 2" xfId="8897" xr:uid="{00000000-0005-0000-0000-000038790000}"/>
    <cellStyle name="Total 5 2 2 3 2 2" xfId="17938" xr:uid="{00000000-0005-0000-0000-000039790000}"/>
    <cellStyle name="Total 5 2 2 3 2 2 2" xfId="32770" xr:uid="{00000000-0005-0000-0000-00003A790000}"/>
    <cellStyle name="Total 5 2 2 3 2 3" xfId="19540" xr:uid="{00000000-0005-0000-0000-00003B790000}"/>
    <cellStyle name="Total 5 2 2 3 3" xfId="15182" xr:uid="{00000000-0005-0000-0000-00003C790000}"/>
    <cellStyle name="Total 5 2 2 3 3 2" xfId="30014" xr:uid="{00000000-0005-0000-0000-00003D790000}"/>
    <cellStyle name="Total 5 2 2 3 4" xfId="11541" xr:uid="{00000000-0005-0000-0000-00003E790000}"/>
    <cellStyle name="Total 5 2 2 3 4 2" xfId="26373" xr:uid="{00000000-0005-0000-0000-00003F790000}"/>
    <cellStyle name="Total 5 2 2 4" xfId="2848" xr:uid="{00000000-0005-0000-0000-000040790000}"/>
    <cellStyle name="Total 5 2 2 4 2" xfId="6939" xr:uid="{00000000-0005-0000-0000-000041790000}"/>
    <cellStyle name="Total 5 2 2 4 2 2" xfId="16832" xr:uid="{00000000-0005-0000-0000-000042790000}"/>
    <cellStyle name="Total 5 2 2 4 2 2 2" xfId="31664" xr:uid="{00000000-0005-0000-0000-000043790000}"/>
    <cellStyle name="Total 5 2 2 4 2 3" xfId="18831" xr:uid="{00000000-0005-0000-0000-000044790000}"/>
    <cellStyle name="Total 5 2 2 4 3" xfId="13186" xr:uid="{00000000-0005-0000-0000-000045790000}"/>
    <cellStyle name="Total 5 2 2 4 3 2" xfId="28018" xr:uid="{00000000-0005-0000-0000-000046790000}"/>
    <cellStyle name="Total 5 2 2 4 4" xfId="10485" xr:uid="{00000000-0005-0000-0000-000047790000}"/>
    <cellStyle name="Total 5 2 2 4 4 2" xfId="25317" xr:uid="{00000000-0005-0000-0000-000048790000}"/>
    <cellStyle name="Total 5 2 2 5" xfId="6012" xr:uid="{00000000-0005-0000-0000-000049790000}"/>
    <cellStyle name="Total 5 2 2 5 2" xfId="16204" xr:uid="{00000000-0005-0000-0000-00004A790000}"/>
    <cellStyle name="Total 5 2 2 5 2 2" xfId="31036" xr:uid="{00000000-0005-0000-0000-00004B790000}"/>
    <cellStyle name="Total 5 2 2 5 3" xfId="18473" xr:uid="{00000000-0005-0000-0000-00004C790000}"/>
    <cellStyle name="Total 5 2 2 6" xfId="12274" xr:uid="{00000000-0005-0000-0000-00004D790000}"/>
    <cellStyle name="Total 5 2 2 6 2" xfId="27106" xr:uid="{00000000-0005-0000-0000-00004E790000}"/>
    <cellStyle name="Total 5 2 2 7" xfId="9870" xr:uid="{00000000-0005-0000-0000-00004F790000}"/>
    <cellStyle name="Total 5 2 2 7 2" xfId="24796" xr:uid="{00000000-0005-0000-0000-000050790000}"/>
    <cellStyle name="Total 5 2 3" xfId="3864" xr:uid="{00000000-0005-0000-0000-000051790000}"/>
    <cellStyle name="Total 5 2 3 2" xfId="7916" xr:uid="{00000000-0005-0000-0000-000052790000}"/>
    <cellStyle name="Total 5 2 3 2 2" xfId="17399" xr:uid="{00000000-0005-0000-0000-000053790000}"/>
    <cellStyle name="Total 5 2 3 2 2 2" xfId="32231" xr:uid="{00000000-0005-0000-0000-000054790000}"/>
    <cellStyle name="Total 5 2 3 2 3" xfId="19178" xr:uid="{00000000-0005-0000-0000-000055790000}"/>
    <cellStyle name="Total 5 2 3 3" xfId="14199" xr:uid="{00000000-0005-0000-0000-000056790000}"/>
    <cellStyle name="Total 5 2 3 3 2" xfId="29031" xr:uid="{00000000-0005-0000-0000-000057790000}"/>
    <cellStyle name="Total 5 2 3 4" xfId="11018" xr:uid="{00000000-0005-0000-0000-000058790000}"/>
    <cellStyle name="Total 5 2 3 4 2" xfId="25850" xr:uid="{00000000-0005-0000-0000-000059790000}"/>
    <cellStyle name="Total 5 2 4" xfId="4438" xr:uid="{00000000-0005-0000-0000-00005A790000}"/>
    <cellStyle name="Total 5 2 4 2" xfId="8477" xr:uid="{00000000-0005-0000-0000-00005B790000}"/>
    <cellStyle name="Total 5 2 4 2 2" xfId="17698" xr:uid="{00000000-0005-0000-0000-00005C790000}"/>
    <cellStyle name="Total 5 2 4 2 2 2" xfId="32530" xr:uid="{00000000-0005-0000-0000-00005D790000}"/>
    <cellStyle name="Total 5 2 4 2 3" xfId="19380" xr:uid="{00000000-0005-0000-0000-00005E790000}"/>
    <cellStyle name="Total 5 2 4 3" xfId="14767" xr:uid="{00000000-0005-0000-0000-00005F790000}"/>
    <cellStyle name="Total 5 2 4 3 2" xfId="29599" xr:uid="{00000000-0005-0000-0000-000060790000}"/>
    <cellStyle name="Total 5 2 4 4" xfId="11306" xr:uid="{00000000-0005-0000-0000-000061790000}"/>
    <cellStyle name="Total 5 2 4 4 2" xfId="26138" xr:uid="{00000000-0005-0000-0000-000062790000}"/>
    <cellStyle name="Total 5 2 5" xfId="2428" xr:uid="{00000000-0005-0000-0000-000063790000}"/>
    <cellStyle name="Total 5 2 5 2" xfId="6540" xr:uid="{00000000-0005-0000-0000-000064790000}"/>
    <cellStyle name="Total 5 2 5 2 2" xfId="16596" xr:uid="{00000000-0005-0000-0000-000065790000}"/>
    <cellStyle name="Total 5 2 5 2 2 2" xfId="31428" xr:uid="{00000000-0005-0000-0000-000066790000}"/>
    <cellStyle name="Total 5 2 5 2 3" xfId="18668" xr:uid="{00000000-0005-0000-0000-000067790000}"/>
    <cellStyle name="Total 5 2 5 3" xfId="12767" xr:uid="{00000000-0005-0000-0000-000068790000}"/>
    <cellStyle name="Total 5 2 5 3 2" xfId="27599" xr:uid="{00000000-0005-0000-0000-000069790000}"/>
    <cellStyle name="Total 5 2 5 4" xfId="10246" xr:uid="{00000000-0005-0000-0000-00006A790000}"/>
    <cellStyle name="Total 5 2 5 4 2" xfId="25078" xr:uid="{00000000-0005-0000-0000-00006B790000}"/>
    <cellStyle name="Total 5 2 6" xfId="5553" xr:uid="{00000000-0005-0000-0000-00006C790000}"/>
    <cellStyle name="Total 5 2 6 2" xfId="15788" xr:uid="{00000000-0005-0000-0000-00006D790000}"/>
    <cellStyle name="Total 5 2 6 2 2" xfId="30620" xr:uid="{00000000-0005-0000-0000-00006E790000}"/>
    <cellStyle name="Total 5 2 6 3" xfId="18310" xr:uid="{00000000-0005-0000-0000-00006F790000}"/>
    <cellStyle name="Total 5 2 7" xfId="11803" xr:uid="{00000000-0005-0000-0000-000070790000}"/>
    <cellStyle name="Total 5 2 7 2" xfId="26635" xr:uid="{00000000-0005-0000-0000-000071790000}"/>
    <cellStyle name="Total 5 2 8" xfId="9474" xr:uid="{00000000-0005-0000-0000-000072790000}"/>
    <cellStyle name="Total 5 2 8 2" xfId="19778" xr:uid="{00000000-0005-0000-0000-000073790000}"/>
    <cellStyle name="Total 5 3" xfId="1548" xr:uid="{00000000-0005-0000-0000-000074790000}"/>
    <cellStyle name="Total 5 3 2" xfId="2045" xr:uid="{00000000-0005-0000-0000-000075790000}"/>
    <cellStyle name="Total 5 3 2 2" xfId="4318" xr:uid="{00000000-0005-0000-0000-000076790000}"/>
    <cellStyle name="Total 5 3 2 2 2" xfId="8357" xr:uid="{00000000-0005-0000-0000-000077790000}"/>
    <cellStyle name="Total 5 3 2 2 2 2" xfId="17635" xr:uid="{00000000-0005-0000-0000-000078790000}"/>
    <cellStyle name="Total 5 3 2 2 2 2 2" xfId="32467" xr:uid="{00000000-0005-0000-0000-000079790000}"/>
    <cellStyle name="Total 5 3 2 2 2 3" xfId="19337" xr:uid="{00000000-0005-0000-0000-00007A790000}"/>
    <cellStyle name="Total 5 3 2 2 3" xfId="14649" xr:uid="{00000000-0005-0000-0000-00007B790000}"/>
    <cellStyle name="Total 5 3 2 2 3 2" xfId="29481" xr:uid="{00000000-0005-0000-0000-00007C790000}"/>
    <cellStyle name="Total 5 3 2 2 4" xfId="11245" xr:uid="{00000000-0005-0000-0000-00007D790000}"/>
    <cellStyle name="Total 5 3 2 2 4 2" xfId="26077" xr:uid="{00000000-0005-0000-0000-00007E790000}"/>
    <cellStyle name="Total 5 3 2 3" xfId="5013" xr:uid="{00000000-0005-0000-0000-00007F790000}"/>
    <cellStyle name="Total 5 3 2 3 2" xfId="9052" xr:uid="{00000000-0005-0000-0000-000080790000}"/>
    <cellStyle name="Total 5 3 2 3 2 2" xfId="17990" xr:uid="{00000000-0005-0000-0000-000081790000}"/>
    <cellStyle name="Total 5 3 2 3 2 2 2" xfId="32822" xr:uid="{00000000-0005-0000-0000-000082790000}"/>
    <cellStyle name="Total 5 3 2 3 2 3" xfId="19572" xr:uid="{00000000-0005-0000-0000-000083790000}"/>
    <cellStyle name="Total 5 3 2 3 3" xfId="15335" xr:uid="{00000000-0005-0000-0000-000084790000}"/>
    <cellStyle name="Total 5 3 2 3 3 2" xfId="30167" xr:uid="{00000000-0005-0000-0000-000085790000}"/>
    <cellStyle name="Total 5 3 2 3 4" xfId="11591" xr:uid="{00000000-0005-0000-0000-000086790000}"/>
    <cellStyle name="Total 5 3 2 3 4 2" xfId="26423" xr:uid="{00000000-0005-0000-0000-000087790000}"/>
    <cellStyle name="Total 5 3 2 4" xfId="3003" xr:uid="{00000000-0005-0000-0000-000088790000}"/>
    <cellStyle name="Total 5 3 2 4 2" xfId="7083" xr:uid="{00000000-0005-0000-0000-000089790000}"/>
    <cellStyle name="Total 5 3 2 4 2 2" xfId="16882" xr:uid="{00000000-0005-0000-0000-00008A790000}"/>
    <cellStyle name="Total 5 3 2 4 2 2 2" xfId="31714" xr:uid="{00000000-0005-0000-0000-00008B790000}"/>
    <cellStyle name="Total 5 3 2 4 2 3" xfId="18864" xr:uid="{00000000-0005-0000-0000-00008C790000}"/>
    <cellStyle name="Total 5 3 2 4 3" xfId="13341" xr:uid="{00000000-0005-0000-0000-00008D790000}"/>
    <cellStyle name="Total 5 3 2 4 3 2" xfId="28173" xr:uid="{00000000-0005-0000-0000-00008E790000}"/>
    <cellStyle name="Total 5 3 2 4 4" xfId="10537" xr:uid="{00000000-0005-0000-0000-00008F790000}"/>
    <cellStyle name="Total 5 3 2 4 4 2" xfId="25369" xr:uid="{00000000-0005-0000-0000-000090790000}"/>
    <cellStyle name="Total 5 3 2 5" xfId="6175" xr:uid="{00000000-0005-0000-0000-000091790000}"/>
    <cellStyle name="Total 5 3 2 5 2" xfId="16362" xr:uid="{00000000-0005-0000-0000-000092790000}"/>
    <cellStyle name="Total 5 3 2 5 2 2" xfId="31194" xr:uid="{00000000-0005-0000-0000-000093790000}"/>
    <cellStyle name="Total 5 3 2 5 3" xfId="18505" xr:uid="{00000000-0005-0000-0000-000094790000}"/>
    <cellStyle name="Total 5 3 2 6" xfId="12432" xr:uid="{00000000-0005-0000-0000-000095790000}"/>
    <cellStyle name="Total 5 3 2 6 2" xfId="27264" xr:uid="{00000000-0005-0000-0000-000096790000}"/>
    <cellStyle name="Total 5 3 2 7" xfId="10014" xr:uid="{00000000-0005-0000-0000-000097790000}"/>
    <cellStyle name="Total 5 3 2 7 2" xfId="24846" xr:uid="{00000000-0005-0000-0000-000098790000}"/>
    <cellStyle name="Total 5 3 3" xfId="3272" xr:uid="{00000000-0005-0000-0000-000099790000}"/>
    <cellStyle name="Total 5 3 3 2" xfId="7336" xr:uid="{00000000-0005-0000-0000-00009A790000}"/>
    <cellStyle name="Total 5 3 3 2 2" xfId="17080" xr:uid="{00000000-0005-0000-0000-00009B790000}"/>
    <cellStyle name="Total 5 3 3 2 2 2" xfId="31912" xr:uid="{00000000-0005-0000-0000-00009C790000}"/>
    <cellStyle name="Total 5 3 3 2 3" xfId="18979" xr:uid="{00000000-0005-0000-0000-00009D790000}"/>
    <cellStyle name="Total 5 3 3 3" xfId="13609" xr:uid="{00000000-0005-0000-0000-00009E790000}"/>
    <cellStyle name="Total 5 3 3 3 2" xfId="28441" xr:uid="{00000000-0005-0000-0000-00009F790000}"/>
    <cellStyle name="Total 5 3 3 4" xfId="10708" xr:uid="{00000000-0005-0000-0000-0000A0790000}"/>
    <cellStyle name="Total 5 3 3 4 2" xfId="25540" xr:uid="{00000000-0005-0000-0000-0000A1790000}"/>
    <cellStyle name="Total 5 3 4" xfId="4593" xr:uid="{00000000-0005-0000-0000-0000A2790000}"/>
    <cellStyle name="Total 5 3 4 2" xfId="8632" xr:uid="{00000000-0005-0000-0000-0000A3790000}"/>
    <cellStyle name="Total 5 3 4 2 2" xfId="17750" xr:uid="{00000000-0005-0000-0000-0000A4790000}"/>
    <cellStyle name="Total 5 3 4 2 2 2" xfId="32582" xr:uid="{00000000-0005-0000-0000-0000A5790000}"/>
    <cellStyle name="Total 5 3 4 2 3" xfId="19412" xr:uid="{00000000-0005-0000-0000-0000A6790000}"/>
    <cellStyle name="Total 5 3 4 3" xfId="14920" xr:uid="{00000000-0005-0000-0000-0000A7790000}"/>
    <cellStyle name="Total 5 3 4 3 2" xfId="29752" xr:uid="{00000000-0005-0000-0000-0000A8790000}"/>
    <cellStyle name="Total 5 3 4 4" xfId="11356" xr:uid="{00000000-0005-0000-0000-0000A9790000}"/>
    <cellStyle name="Total 5 3 4 4 2" xfId="26188" xr:uid="{00000000-0005-0000-0000-0000AA790000}"/>
    <cellStyle name="Total 5 3 5" xfId="2583" xr:uid="{00000000-0005-0000-0000-0000AB790000}"/>
    <cellStyle name="Total 5 3 5 2" xfId="6689" xr:uid="{00000000-0005-0000-0000-0000AC790000}"/>
    <cellStyle name="Total 5 3 5 2 2" xfId="16647" xr:uid="{00000000-0005-0000-0000-0000AD790000}"/>
    <cellStyle name="Total 5 3 5 2 2 2" xfId="31479" xr:uid="{00000000-0005-0000-0000-0000AE790000}"/>
    <cellStyle name="Total 5 3 5 2 3" xfId="18700" xr:uid="{00000000-0005-0000-0000-0000AF790000}"/>
    <cellStyle name="Total 5 3 5 3" xfId="12921" xr:uid="{00000000-0005-0000-0000-0000B0790000}"/>
    <cellStyle name="Total 5 3 5 3 2" xfId="27753" xr:uid="{00000000-0005-0000-0000-0000B1790000}"/>
    <cellStyle name="Total 5 3 5 4" xfId="10297" xr:uid="{00000000-0005-0000-0000-0000B2790000}"/>
    <cellStyle name="Total 5 3 5 4 2" xfId="25129" xr:uid="{00000000-0005-0000-0000-0000B3790000}"/>
    <cellStyle name="Total 5 3 6" xfId="5706" xr:uid="{00000000-0005-0000-0000-0000B4790000}"/>
    <cellStyle name="Total 5 3 6 2" xfId="15941" xr:uid="{00000000-0005-0000-0000-0000B5790000}"/>
    <cellStyle name="Total 5 3 6 2 2" xfId="30773" xr:uid="{00000000-0005-0000-0000-0000B6790000}"/>
    <cellStyle name="Total 5 3 6 3" xfId="18342" xr:uid="{00000000-0005-0000-0000-0000B7790000}"/>
    <cellStyle name="Total 5 3 7" xfId="11961" xr:uid="{00000000-0005-0000-0000-0000B8790000}"/>
    <cellStyle name="Total 5 3 7 2" xfId="26793" xr:uid="{00000000-0005-0000-0000-0000B9790000}"/>
    <cellStyle name="Total 5 3 8" xfId="9619" xr:uid="{00000000-0005-0000-0000-0000BA790000}"/>
    <cellStyle name="Total 5 3 8 2" xfId="19921" xr:uid="{00000000-0005-0000-0000-0000BB790000}"/>
    <cellStyle name="Total 5 4" xfId="1601" xr:uid="{00000000-0005-0000-0000-0000BC790000}"/>
    <cellStyle name="Total 5 4 2" xfId="2098" xr:uid="{00000000-0005-0000-0000-0000BD790000}"/>
    <cellStyle name="Total 5 4 2 2" xfId="4105" xr:uid="{00000000-0005-0000-0000-0000BE790000}"/>
    <cellStyle name="Total 5 4 2 2 2" xfId="8151" xr:uid="{00000000-0005-0000-0000-0000BF790000}"/>
    <cellStyle name="Total 5 4 2 2 2 2" xfId="17521" xr:uid="{00000000-0005-0000-0000-0000C0790000}"/>
    <cellStyle name="Total 5 4 2 2 2 2 2" xfId="32353" xr:uid="{00000000-0005-0000-0000-0000C1790000}"/>
    <cellStyle name="Total 5 4 2 2 2 3" xfId="19268" xr:uid="{00000000-0005-0000-0000-0000C2790000}"/>
    <cellStyle name="Total 5 4 2 2 3" xfId="14437" xr:uid="{00000000-0005-0000-0000-0000C3790000}"/>
    <cellStyle name="Total 5 4 2 2 3 2" xfId="29269" xr:uid="{00000000-0005-0000-0000-0000C4790000}"/>
    <cellStyle name="Total 5 4 2 2 4" xfId="11138" xr:uid="{00000000-0005-0000-0000-0000C5790000}"/>
    <cellStyle name="Total 5 4 2 2 4 2" xfId="25970" xr:uid="{00000000-0005-0000-0000-0000C6790000}"/>
    <cellStyle name="Total 5 4 2 3" xfId="5066" xr:uid="{00000000-0005-0000-0000-0000C7790000}"/>
    <cellStyle name="Total 5 4 2 3 2" xfId="9105" xr:uid="{00000000-0005-0000-0000-0000C8790000}"/>
    <cellStyle name="Total 5 4 2 3 2 2" xfId="18038" xr:uid="{00000000-0005-0000-0000-0000C9790000}"/>
    <cellStyle name="Total 5 4 2 3 2 2 2" xfId="32870" xr:uid="{00000000-0005-0000-0000-0000CA790000}"/>
    <cellStyle name="Total 5 4 2 3 2 3" xfId="19604" xr:uid="{00000000-0005-0000-0000-0000CB790000}"/>
    <cellStyle name="Total 5 4 2 3 3" xfId="15387" xr:uid="{00000000-0005-0000-0000-0000CC790000}"/>
    <cellStyle name="Total 5 4 2 3 3 2" xfId="30219" xr:uid="{00000000-0005-0000-0000-0000CD790000}"/>
    <cellStyle name="Total 5 4 2 3 4" xfId="11638" xr:uid="{00000000-0005-0000-0000-0000CE790000}"/>
    <cellStyle name="Total 5 4 2 3 4 2" xfId="26470" xr:uid="{00000000-0005-0000-0000-0000CF790000}"/>
    <cellStyle name="Total 5 4 2 4" xfId="3056" xr:uid="{00000000-0005-0000-0000-0000D0790000}"/>
    <cellStyle name="Total 5 4 2 4 2" xfId="7131" xr:uid="{00000000-0005-0000-0000-0000D1790000}"/>
    <cellStyle name="Total 5 4 2 4 2 2" xfId="16929" xr:uid="{00000000-0005-0000-0000-0000D2790000}"/>
    <cellStyle name="Total 5 4 2 4 2 2 2" xfId="31761" xr:uid="{00000000-0005-0000-0000-0000D3790000}"/>
    <cellStyle name="Total 5 4 2 4 2 3" xfId="18897" xr:uid="{00000000-0005-0000-0000-0000D4790000}"/>
    <cellStyle name="Total 5 4 2 4 3" xfId="13394" xr:uid="{00000000-0005-0000-0000-0000D5790000}"/>
    <cellStyle name="Total 5 4 2 4 3 2" xfId="28226" xr:uid="{00000000-0005-0000-0000-0000D6790000}"/>
    <cellStyle name="Total 5 4 2 4 4" xfId="10585" xr:uid="{00000000-0005-0000-0000-0000D7790000}"/>
    <cellStyle name="Total 5 4 2 4 4 2" xfId="25417" xr:uid="{00000000-0005-0000-0000-0000D8790000}"/>
    <cellStyle name="Total 5 4 2 5" xfId="6223" xr:uid="{00000000-0005-0000-0000-0000D9790000}"/>
    <cellStyle name="Total 5 4 2 5 2" xfId="16409" xr:uid="{00000000-0005-0000-0000-0000DA790000}"/>
    <cellStyle name="Total 5 4 2 5 2 2" xfId="31241" xr:uid="{00000000-0005-0000-0000-0000DB790000}"/>
    <cellStyle name="Total 5 4 2 5 3" xfId="18538" xr:uid="{00000000-0005-0000-0000-0000DC790000}"/>
    <cellStyle name="Total 5 4 2 6" xfId="12479" xr:uid="{00000000-0005-0000-0000-0000DD790000}"/>
    <cellStyle name="Total 5 4 2 6 2" xfId="27311" xr:uid="{00000000-0005-0000-0000-0000DE790000}"/>
    <cellStyle name="Total 5 4 2 7" xfId="10061" xr:uid="{00000000-0005-0000-0000-0000DF790000}"/>
    <cellStyle name="Total 5 4 2 7 2" xfId="24893" xr:uid="{00000000-0005-0000-0000-0000E0790000}"/>
    <cellStyle name="Total 5 4 3" xfId="3505" xr:uid="{00000000-0005-0000-0000-0000E1790000}"/>
    <cellStyle name="Total 5 4 3 2" xfId="7567" xr:uid="{00000000-0005-0000-0000-0000E2790000}"/>
    <cellStyle name="Total 5 4 3 2 2" xfId="17225" xr:uid="{00000000-0005-0000-0000-0000E3790000}"/>
    <cellStyle name="Total 5 4 3 2 2 2" xfId="32057" xr:uid="{00000000-0005-0000-0000-0000E4790000}"/>
    <cellStyle name="Total 5 4 3 2 3" xfId="19058" xr:uid="{00000000-0005-0000-0000-0000E5790000}"/>
    <cellStyle name="Total 5 4 3 3" xfId="13842" xr:uid="{00000000-0005-0000-0000-0000E6790000}"/>
    <cellStyle name="Total 5 4 3 3 2" xfId="28674" xr:uid="{00000000-0005-0000-0000-0000E7790000}"/>
    <cellStyle name="Total 5 4 3 4" xfId="10843" xr:uid="{00000000-0005-0000-0000-0000E8790000}"/>
    <cellStyle name="Total 5 4 3 4 2" xfId="25675" xr:uid="{00000000-0005-0000-0000-0000E9790000}"/>
    <cellStyle name="Total 5 4 4" xfId="4646" xr:uid="{00000000-0005-0000-0000-0000EA790000}"/>
    <cellStyle name="Total 5 4 4 2" xfId="8685" xr:uid="{00000000-0005-0000-0000-0000EB790000}"/>
    <cellStyle name="Total 5 4 4 2 2" xfId="17798" xr:uid="{00000000-0005-0000-0000-0000EC790000}"/>
    <cellStyle name="Total 5 4 4 2 2 2" xfId="32630" xr:uid="{00000000-0005-0000-0000-0000ED790000}"/>
    <cellStyle name="Total 5 4 4 2 3" xfId="19444" xr:uid="{00000000-0005-0000-0000-0000EE790000}"/>
    <cellStyle name="Total 5 4 4 3" xfId="14972" xr:uid="{00000000-0005-0000-0000-0000EF790000}"/>
    <cellStyle name="Total 5 4 4 3 2" xfId="29804" xr:uid="{00000000-0005-0000-0000-0000F0790000}"/>
    <cellStyle name="Total 5 4 4 4" xfId="11403" xr:uid="{00000000-0005-0000-0000-0000F1790000}"/>
    <cellStyle name="Total 5 4 4 4 2" xfId="26235" xr:uid="{00000000-0005-0000-0000-0000F2790000}"/>
    <cellStyle name="Total 5 4 5" xfId="2636" xr:uid="{00000000-0005-0000-0000-0000F3790000}"/>
    <cellStyle name="Total 5 4 5 2" xfId="6737" xr:uid="{00000000-0005-0000-0000-0000F4790000}"/>
    <cellStyle name="Total 5 4 5 2 2" xfId="16694" xr:uid="{00000000-0005-0000-0000-0000F5790000}"/>
    <cellStyle name="Total 5 4 5 2 2 2" xfId="31526" xr:uid="{00000000-0005-0000-0000-0000F6790000}"/>
    <cellStyle name="Total 5 4 5 2 3" xfId="18733" xr:uid="{00000000-0005-0000-0000-0000F7790000}"/>
    <cellStyle name="Total 5 4 5 3" xfId="12974" xr:uid="{00000000-0005-0000-0000-0000F8790000}"/>
    <cellStyle name="Total 5 4 5 3 2" xfId="27806" xr:uid="{00000000-0005-0000-0000-0000F9790000}"/>
    <cellStyle name="Total 5 4 5 4" xfId="10345" xr:uid="{00000000-0005-0000-0000-0000FA790000}"/>
    <cellStyle name="Total 5 4 5 4 2" xfId="25177" xr:uid="{00000000-0005-0000-0000-0000FB790000}"/>
    <cellStyle name="Total 5 4 6" xfId="5753" xr:uid="{00000000-0005-0000-0000-0000FC790000}"/>
    <cellStyle name="Total 5 4 6 2" xfId="15988" xr:uid="{00000000-0005-0000-0000-0000FD790000}"/>
    <cellStyle name="Total 5 4 6 2 2" xfId="30820" xr:uid="{00000000-0005-0000-0000-0000FE790000}"/>
    <cellStyle name="Total 5 4 6 3" xfId="18374" xr:uid="{00000000-0005-0000-0000-0000FF790000}"/>
    <cellStyle name="Total 5 4 7" xfId="12008" xr:uid="{00000000-0005-0000-0000-0000007A0000}"/>
    <cellStyle name="Total 5 4 7 2" xfId="26840" xr:uid="{00000000-0005-0000-0000-0000017A0000}"/>
    <cellStyle name="Total 5 4 8" xfId="9667" xr:uid="{00000000-0005-0000-0000-0000027A0000}"/>
    <cellStyle name="Total 5 4 8 2" xfId="19968" xr:uid="{00000000-0005-0000-0000-0000037A0000}"/>
    <cellStyle name="Total 5 5" xfId="1651" xr:uid="{00000000-0005-0000-0000-0000047A0000}"/>
    <cellStyle name="Total 5 5 2" xfId="2148" xr:uid="{00000000-0005-0000-0000-0000057A0000}"/>
    <cellStyle name="Total 5 5 2 2" xfId="3726" xr:uid="{00000000-0005-0000-0000-0000067A0000}"/>
    <cellStyle name="Total 5 5 2 2 2" xfId="7782" xr:uid="{00000000-0005-0000-0000-0000077A0000}"/>
    <cellStyle name="Total 5 5 2 2 2 2" xfId="17336" xr:uid="{00000000-0005-0000-0000-0000087A0000}"/>
    <cellStyle name="Total 5 5 2 2 2 2 2" xfId="32168" xr:uid="{00000000-0005-0000-0000-0000097A0000}"/>
    <cellStyle name="Total 5 5 2 2 2 3" xfId="19133" xr:uid="{00000000-0005-0000-0000-00000A7A0000}"/>
    <cellStyle name="Total 5 5 2 2 3" xfId="14061" xr:uid="{00000000-0005-0000-0000-00000B7A0000}"/>
    <cellStyle name="Total 5 5 2 2 3 2" xfId="28893" xr:uid="{00000000-0005-0000-0000-00000C7A0000}"/>
    <cellStyle name="Total 5 5 2 2 4" xfId="10952" xr:uid="{00000000-0005-0000-0000-00000D7A0000}"/>
    <cellStyle name="Total 5 5 2 2 4 2" xfId="25784" xr:uid="{00000000-0005-0000-0000-00000E7A0000}"/>
    <cellStyle name="Total 5 5 2 3" xfId="5116" xr:uid="{00000000-0005-0000-0000-00000F7A0000}"/>
    <cellStyle name="Total 5 5 2 3 2" xfId="9155" xr:uid="{00000000-0005-0000-0000-0000107A0000}"/>
    <cellStyle name="Total 5 5 2 3 2 2" xfId="18083" xr:uid="{00000000-0005-0000-0000-0000117A0000}"/>
    <cellStyle name="Total 5 5 2 3 2 2 2" xfId="32915" xr:uid="{00000000-0005-0000-0000-0000127A0000}"/>
    <cellStyle name="Total 5 5 2 3 2 3" xfId="19636" xr:uid="{00000000-0005-0000-0000-0000137A0000}"/>
    <cellStyle name="Total 5 5 2 3 3" xfId="15436" xr:uid="{00000000-0005-0000-0000-0000147A0000}"/>
    <cellStyle name="Total 5 5 2 3 3 2" xfId="30268" xr:uid="{00000000-0005-0000-0000-0000157A0000}"/>
    <cellStyle name="Total 5 5 2 3 4" xfId="11682" xr:uid="{00000000-0005-0000-0000-0000167A0000}"/>
    <cellStyle name="Total 5 5 2 3 4 2" xfId="26514" xr:uid="{00000000-0005-0000-0000-0000177A0000}"/>
    <cellStyle name="Total 5 5 2 4" xfId="3106" xr:uid="{00000000-0005-0000-0000-0000187A0000}"/>
    <cellStyle name="Total 5 5 2 4 2" xfId="7176" xr:uid="{00000000-0005-0000-0000-0000197A0000}"/>
    <cellStyle name="Total 5 5 2 4 2 2" xfId="16973" xr:uid="{00000000-0005-0000-0000-00001A7A0000}"/>
    <cellStyle name="Total 5 5 2 4 2 2 2" xfId="31805" xr:uid="{00000000-0005-0000-0000-00001B7A0000}"/>
    <cellStyle name="Total 5 5 2 4 2 3" xfId="18930" xr:uid="{00000000-0005-0000-0000-00001C7A0000}"/>
    <cellStyle name="Total 5 5 2 4 3" xfId="13444" xr:uid="{00000000-0005-0000-0000-00001D7A0000}"/>
    <cellStyle name="Total 5 5 2 4 3 2" xfId="28276" xr:uid="{00000000-0005-0000-0000-00001E7A0000}"/>
    <cellStyle name="Total 5 5 2 4 4" xfId="10630" xr:uid="{00000000-0005-0000-0000-00001F7A0000}"/>
    <cellStyle name="Total 5 5 2 4 4 2" xfId="25462" xr:uid="{00000000-0005-0000-0000-0000207A0000}"/>
    <cellStyle name="Total 5 5 2 5" xfId="6268" xr:uid="{00000000-0005-0000-0000-0000217A0000}"/>
    <cellStyle name="Total 5 5 2 5 2" xfId="16453" xr:uid="{00000000-0005-0000-0000-0000227A0000}"/>
    <cellStyle name="Total 5 5 2 5 2 2" xfId="31285" xr:uid="{00000000-0005-0000-0000-0000237A0000}"/>
    <cellStyle name="Total 5 5 2 5 3" xfId="18571" xr:uid="{00000000-0005-0000-0000-0000247A0000}"/>
    <cellStyle name="Total 5 5 2 6" xfId="12523" xr:uid="{00000000-0005-0000-0000-0000257A0000}"/>
    <cellStyle name="Total 5 5 2 6 2" xfId="27355" xr:uid="{00000000-0005-0000-0000-0000267A0000}"/>
    <cellStyle name="Total 5 5 2 7" xfId="10105" xr:uid="{00000000-0005-0000-0000-0000277A0000}"/>
    <cellStyle name="Total 5 5 2 7 2" xfId="24937" xr:uid="{00000000-0005-0000-0000-0000287A0000}"/>
    <cellStyle name="Total 5 5 3" xfId="3571" xr:uid="{00000000-0005-0000-0000-0000297A0000}"/>
    <cellStyle name="Total 5 5 3 2" xfId="7633" xr:uid="{00000000-0005-0000-0000-00002A7A0000}"/>
    <cellStyle name="Total 5 5 3 2 2" xfId="17262" xr:uid="{00000000-0005-0000-0000-00002B7A0000}"/>
    <cellStyle name="Total 5 5 3 2 2 2" xfId="32094" xr:uid="{00000000-0005-0000-0000-00002C7A0000}"/>
    <cellStyle name="Total 5 5 3 2 3" xfId="19085" xr:uid="{00000000-0005-0000-0000-00002D7A0000}"/>
    <cellStyle name="Total 5 5 3 3" xfId="13907" xr:uid="{00000000-0005-0000-0000-00002E7A0000}"/>
    <cellStyle name="Total 5 5 3 3 2" xfId="28739" xr:uid="{00000000-0005-0000-0000-00002F7A0000}"/>
    <cellStyle name="Total 5 5 3 4" xfId="10879" xr:uid="{00000000-0005-0000-0000-0000307A0000}"/>
    <cellStyle name="Total 5 5 3 4 2" xfId="25711" xr:uid="{00000000-0005-0000-0000-0000317A0000}"/>
    <cellStyle name="Total 5 5 4" xfId="4696" xr:uid="{00000000-0005-0000-0000-0000327A0000}"/>
    <cellStyle name="Total 5 5 4 2" xfId="8735" xr:uid="{00000000-0005-0000-0000-0000337A0000}"/>
    <cellStyle name="Total 5 5 4 2 2" xfId="17843" xr:uid="{00000000-0005-0000-0000-0000347A0000}"/>
    <cellStyle name="Total 5 5 4 2 2 2" xfId="32675" xr:uid="{00000000-0005-0000-0000-0000357A0000}"/>
    <cellStyle name="Total 5 5 4 2 3" xfId="19476" xr:uid="{00000000-0005-0000-0000-0000367A0000}"/>
    <cellStyle name="Total 5 5 4 3" xfId="15021" xr:uid="{00000000-0005-0000-0000-0000377A0000}"/>
    <cellStyle name="Total 5 5 4 3 2" xfId="29853" xr:uid="{00000000-0005-0000-0000-0000387A0000}"/>
    <cellStyle name="Total 5 5 4 4" xfId="11447" xr:uid="{00000000-0005-0000-0000-0000397A0000}"/>
    <cellStyle name="Total 5 5 4 4 2" xfId="26279" xr:uid="{00000000-0005-0000-0000-00003A7A0000}"/>
    <cellStyle name="Total 5 5 5" xfId="2686" xr:uid="{00000000-0005-0000-0000-00003B7A0000}"/>
    <cellStyle name="Total 5 5 5 2" xfId="6782" xr:uid="{00000000-0005-0000-0000-00003C7A0000}"/>
    <cellStyle name="Total 5 5 5 2 2" xfId="16738" xr:uid="{00000000-0005-0000-0000-00003D7A0000}"/>
    <cellStyle name="Total 5 5 5 2 2 2" xfId="31570" xr:uid="{00000000-0005-0000-0000-00003E7A0000}"/>
    <cellStyle name="Total 5 5 5 2 3" xfId="18766" xr:uid="{00000000-0005-0000-0000-00003F7A0000}"/>
    <cellStyle name="Total 5 5 5 3" xfId="13024" xr:uid="{00000000-0005-0000-0000-0000407A0000}"/>
    <cellStyle name="Total 5 5 5 3 2" xfId="27856" xr:uid="{00000000-0005-0000-0000-0000417A0000}"/>
    <cellStyle name="Total 5 5 5 4" xfId="10390" xr:uid="{00000000-0005-0000-0000-0000427A0000}"/>
    <cellStyle name="Total 5 5 5 4 2" xfId="25222" xr:uid="{00000000-0005-0000-0000-0000437A0000}"/>
    <cellStyle name="Total 5 5 6" xfId="5798" xr:uid="{00000000-0005-0000-0000-0000447A0000}"/>
    <cellStyle name="Total 5 5 6 2" xfId="16032" xr:uid="{00000000-0005-0000-0000-0000457A0000}"/>
    <cellStyle name="Total 5 5 6 2 2" xfId="30864" xr:uid="{00000000-0005-0000-0000-0000467A0000}"/>
    <cellStyle name="Total 5 5 6 3" xfId="18407" xr:uid="{00000000-0005-0000-0000-0000477A0000}"/>
    <cellStyle name="Total 5 5 7" xfId="12052" xr:uid="{00000000-0005-0000-0000-0000487A0000}"/>
    <cellStyle name="Total 5 5 7 2" xfId="26884" xr:uid="{00000000-0005-0000-0000-0000497A0000}"/>
    <cellStyle name="Total 5 5 8" xfId="9712" xr:uid="{00000000-0005-0000-0000-00004A7A0000}"/>
    <cellStyle name="Total 5 5 8 2" xfId="20012" xr:uid="{00000000-0005-0000-0000-00004B7A0000}"/>
    <cellStyle name="Total 5 6" xfId="1802" xr:uid="{00000000-0005-0000-0000-00004C7A0000}"/>
    <cellStyle name="Total 5 6 2" xfId="3894" xr:uid="{00000000-0005-0000-0000-00004D7A0000}"/>
    <cellStyle name="Total 5 6 2 2" xfId="7945" xr:uid="{00000000-0005-0000-0000-00004E7A0000}"/>
    <cellStyle name="Total 5 6 2 2 2" xfId="17417" xr:uid="{00000000-0005-0000-0000-00004F7A0000}"/>
    <cellStyle name="Total 5 6 2 2 2 2" xfId="32249" xr:uid="{00000000-0005-0000-0000-0000507A0000}"/>
    <cellStyle name="Total 5 6 2 2 3" xfId="19190" xr:uid="{00000000-0005-0000-0000-0000517A0000}"/>
    <cellStyle name="Total 5 6 2 3" xfId="14227" xr:uid="{00000000-0005-0000-0000-0000527A0000}"/>
    <cellStyle name="Total 5 6 2 3 2" xfId="29059" xr:uid="{00000000-0005-0000-0000-0000537A0000}"/>
    <cellStyle name="Total 5 6 2 4" xfId="11033" xr:uid="{00000000-0005-0000-0000-0000547A0000}"/>
    <cellStyle name="Total 5 6 2 4 2" xfId="25865" xr:uid="{00000000-0005-0000-0000-0000557A0000}"/>
    <cellStyle name="Total 5 6 3" xfId="4780" xr:uid="{00000000-0005-0000-0000-0000567A0000}"/>
    <cellStyle name="Total 5 6 3 2" xfId="8819" xr:uid="{00000000-0005-0000-0000-0000577A0000}"/>
    <cellStyle name="Total 5 6 3 2 2" xfId="17891" xr:uid="{00000000-0005-0000-0000-0000587A0000}"/>
    <cellStyle name="Total 5 6 3 2 2 2" xfId="32723" xr:uid="{00000000-0005-0000-0000-0000597A0000}"/>
    <cellStyle name="Total 5 6 3 2 3" xfId="19508" xr:uid="{00000000-0005-0000-0000-00005A7A0000}"/>
    <cellStyle name="Total 5 6 3 3" xfId="15104" xr:uid="{00000000-0005-0000-0000-00005B7A0000}"/>
    <cellStyle name="Total 5 6 3 3 2" xfId="29936" xr:uid="{00000000-0005-0000-0000-00005C7A0000}"/>
    <cellStyle name="Total 5 6 3 4" xfId="11494" xr:uid="{00000000-0005-0000-0000-00005D7A0000}"/>
    <cellStyle name="Total 5 6 3 4 2" xfId="26326" xr:uid="{00000000-0005-0000-0000-00005E7A0000}"/>
    <cellStyle name="Total 5 6 4" xfId="2770" xr:uid="{00000000-0005-0000-0000-00005F7A0000}"/>
    <cellStyle name="Total 5 6 4 2" xfId="6861" xr:uid="{00000000-0005-0000-0000-0000607A0000}"/>
    <cellStyle name="Total 5 6 4 2 2" xfId="16785" xr:uid="{00000000-0005-0000-0000-0000617A0000}"/>
    <cellStyle name="Total 5 6 4 2 2 2" xfId="31617" xr:uid="{00000000-0005-0000-0000-0000627A0000}"/>
    <cellStyle name="Total 5 6 4 2 3" xfId="18799" xr:uid="{00000000-0005-0000-0000-0000637A0000}"/>
    <cellStyle name="Total 5 6 4 3" xfId="13108" xr:uid="{00000000-0005-0000-0000-0000647A0000}"/>
    <cellStyle name="Total 5 6 4 3 2" xfId="27940" xr:uid="{00000000-0005-0000-0000-0000657A0000}"/>
    <cellStyle name="Total 5 6 4 4" xfId="10438" xr:uid="{00000000-0005-0000-0000-0000667A0000}"/>
    <cellStyle name="Total 5 6 4 4 2" xfId="25270" xr:uid="{00000000-0005-0000-0000-0000677A0000}"/>
    <cellStyle name="Total 5 6 5" xfId="5934" xr:uid="{00000000-0005-0000-0000-0000687A0000}"/>
    <cellStyle name="Total 5 6 5 2" xfId="16126" xr:uid="{00000000-0005-0000-0000-0000697A0000}"/>
    <cellStyle name="Total 5 6 5 2 2" xfId="30958" xr:uid="{00000000-0005-0000-0000-00006A7A0000}"/>
    <cellStyle name="Total 5 6 5 3" xfId="18441" xr:uid="{00000000-0005-0000-0000-00006B7A0000}"/>
    <cellStyle name="Total 5 6 6" xfId="12196" xr:uid="{00000000-0005-0000-0000-00006C7A0000}"/>
    <cellStyle name="Total 5 6 6 2" xfId="27028" xr:uid="{00000000-0005-0000-0000-00006D7A0000}"/>
    <cellStyle name="Total 5 6 7" xfId="9792" xr:uid="{00000000-0005-0000-0000-00006E7A0000}"/>
    <cellStyle name="Total 5 6 7 2" xfId="24749" xr:uid="{00000000-0005-0000-0000-00006F7A0000}"/>
    <cellStyle name="Total 5 7" xfId="2164" xr:uid="{00000000-0005-0000-0000-0000707A0000}"/>
    <cellStyle name="Total 5 7 2" xfId="3886" xr:uid="{00000000-0005-0000-0000-0000717A0000}"/>
    <cellStyle name="Total 5 7 2 2" xfId="7937" xr:uid="{00000000-0005-0000-0000-0000727A0000}"/>
    <cellStyle name="Total 5 7 2 2 2" xfId="17411" xr:uid="{00000000-0005-0000-0000-0000737A0000}"/>
    <cellStyle name="Total 5 7 2 2 2 2" xfId="32243" xr:uid="{00000000-0005-0000-0000-0000747A0000}"/>
    <cellStyle name="Total 5 7 2 2 3" xfId="19187" xr:uid="{00000000-0005-0000-0000-0000757A0000}"/>
    <cellStyle name="Total 5 7 2 3" xfId="14220" xr:uid="{00000000-0005-0000-0000-0000767A0000}"/>
    <cellStyle name="Total 5 7 2 3 2" xfId="29052" xr:uid="{00000000-0005-0000-0000-0000777A0000}"/>
    <cellStyle name="Total 5 7 2 4" xfId="11028" xr:uid="{00000000-0005-0000-0000-0000787A0000}"/>
    <cellStyle name="Total 5 7 2 4 2" xfId="25860" xr:uid="{00000000-0005-0000-0000-0000797A0000}"/>
    <cellStyle name="Total 5 7 3" xfId="5132" xr:uid="{00000000-0005-0000-0000-00007A7A0000}"/>
    <cellStyle name="Total 5 7 3 2" xfId="9171" xr:uid="{00000000-0005-0000-0000-00007B7A0000}"/>
    <cellStyle name="Total 5 7 3 2 2" xfId="18094" xr:uid="{00000000-0005-0000-0000-00007C7A0000}"/>
    <cellStyle name="Total 5 7 3 2 2 2" xfId="32926" xr:uid="{00000000-0005-0000-0000-00007D7A0000}"/>
    <cellStyle name="Total 5 7 3 2 3" xfId="19645" xr:uid="{00000000-0005-0000-0000-00007E7A0000}"/>
    <cellStyle name="Total 5 7 3 3" xfId="15450" xr:uid="{00000000-0005-0000-0000-00007F7A0000}"/>
    <cellStyle name="Total 5 7 3 3 2" xfId="30282" xr:uid="{00000000-0005-0000-0000-0000807A0000}"/>
    <cellStyle name="Total 5 7 3 4" xfId="11691" xr:uid="{00000000-0005-0000-0000-0000817A0000}"/>
    <cellStyle name="Total 5 7 3 4 2" xfId="26523" xr:uid="{00000000-0005-0000-0000-0000827A0000}"/>
    <cellStyle name="Total 5 7 4" xfId="4162" xr:uid="{00000000-0005-0000-0000-0000837A0000}"/>
    <cellStyle name="Total 5 7 4 2" xfId="8203" xr:uid="{00000000-0005-0000-0000-0000847A0000}"/>
    <cellStyle name="Total 5 7 4 2 2" xfId="17550" xr:uid="{00000000-0005-0000-0000-0000857A0000}"/>
    <cellStyle name="Total 5 7 4 2 2 2" xfId="32382" xr:uid="{00000000-0005-0000-0000-0000867A0000}"/>
    <cellStyle name="Total 5 7 4 2 3" xfId="19288" xr:uid="{00000000-0005-0000-0000-0000877A0000}"/>
    <cellStyle name="Total 5 7 4 3" xfId="14494" xr:uid="{00000000-0005-0000-0000-0000887A0000}"/>
    <cellStyle name="Total 5 7 4 3 2" xfId="29326" xr:uid="{00000000-0005-0000-0000-0000897A0000}"/>
    <cellStyle name="Total 5 7 4 4" xfId="11170" xr:uid="{00000000-0005-0000-0000-00008A7A0000}"/>
    <cellStyle name="Total 5 7 4 4 2" xfId="26002" xr:uid="{00000000-0005-0000-0000-00008B7A0000}"/>
    <cellStyle name="Total 5 7 5" xfId="6278" xr:uid="{00000000-0005-0000-0000-00008C7A0000}"/>
    <cellStyle name="Total 5 7 5 2" xfId="16462" xr:uid="{00000000-0005-0000-0000-00008D7A0000}"/>
    <cellStyle name="Total 5 7 5 2 2" xfId="31294" xr:uid="{00000000-0005-0000-0000-00008E7A0000}"/>
    <cellStyle name="Total 5 7 5 3" xfId="18581" xr:uid="{00000000-0005-0000-0000-00008F7A0000}"/>
    <cellStyle name="Total 5 7 6" xfId="12532" xr:uid="{00000000-0005-0000-0000-0000907A0000}"/>
    <cellStyle name="Total 5 7 6 2" xfId="27364" xr:uid="{00000000-0005-0000-0000-0000917A0000}"/>
    <cellStyle name="Total 5 7 7" xfId="10114" xr:uid="{00000000-0005-0000-0000-0000927A0000}"/>
    <cellStyle name="Total 5 7 7 2" xfId="24946" xr:uid="{00000000-0005-0000-0000-0000937A0000}"/>
    <cellStyle name="Total 5 8" xfId="3151" xr:uid="{00000000-0005-0000-0000-0000947A0000}"/>
    <cellStyle name="Total 5 8 2" xfId="7215" xr:uid="{00000000-0005-0000-0000-0000957A0000}"/>
    <cellStyle name="Total 5 8 2 2" xfId="16994" xr:uid="{00000000-0005-0000-0000-0000967A0000}"/>
    <cellStyle name="Total 5 8 2 2 2" xfId="31826" xr:uid="{00000000-0005-0000-0000-0000977A0000}"/>
    <cellStyle name="Total 5 8 2 3" xfId="18942" xr:uid="{00000000-0005-0000-0000-0000987A0000}"/>
    <cellStyle name="Total 5 8 3" xfId="13489" xr:uid="{00000000-0005-0000-0000-0000997A0000}"/>
    <cellStyle name="Total 5 8 3 2" xfId="28321" xr:uid="{00000000-0005-0000-0000-00009A7A0000}"/>
    <cellStyle name="Total 5 8 4" xfId="10646" xr:uid="{00000000-0005-0000-0000-00009B7A0000}"/>
    <cellStyle name="Total 5 8 4 2" xfId="25478" xr:uid="{00000000-0005-0000-0000-00009C7A0000}"/>
    <cellStyle name="Total 5 9" xfId="3142" xr:uid="{00000000-0005-0000-0000-00009D7A0000}"/>
    <cellStyle name="Total 5 9 2" xfId="7206" xr:uid="{00000000-0005-0000-0000-00009E7A0000}"/>
    <cellStyle name="Total 5 9 2 2" xfId="16990" xr:uid="{00000000-0005-0000-0000-00009F7A0000}"/>
    <cellStyle name="Total 5 9 2 2 2" xfId="31822" xr:uid="{00000000-0005-0000-0000-0000A07A0000}"/>
    <cellStyle name="Total 5 9 2 3" xfId="18941" xr:uid="{00000000-0005-0000-0000-0000A17A0000}"/>
    <cellStyle name="Total 5 9 3" xfId="13480" xr:uid="{00000000-0005-0000-0000-0000A27A0000}"/>
    <cellStyle name="Total 5 9 3 2" xfId="28312" xr:uid="{00000000-0005-0000-0000-0000A37A0000}"/>
    <cellStyle name="Total 5 9 4" xfId="10644" xr:uid="{00000000-0005-0000-0000-0000A47A0000}"/>
    <cellStyle name="Total 5 9 4 2" xfId="25476" xr:uid="{00000000-0005-0000-0000-0000A57A0000}"/>
    <cellStyle name="Total 6" xfId="1278" xr:uid="{00000000-0005-0000-0000-0000A67A0000}"/>
    <cellStyle name="Total 6 10" xfId="2345" xr:uid="{00000000-0005-0000-0000-0000A77A0000}"/>
    <cellStyle name="Total 6 10 2" xfId="6457" xr:uid="{00000000-0005-0000-0000-0000A87A0000}"/>
    <cellStyle name="Total 6 10 2 2" xfId="16549" xr:uid="{00000000-0005-0000-0000-0000A97A0000}"/>
    <cellStyle name="Total 6 10 2 2 2" xfId="31381" xr:uid="{00000000-0005-0000-0000-0000AA7A0000}"/>
    <cellStyle name="Total 6 10 2 3" xfId="18637" xr:uid="{00000000-0005-0000-0000-0000AB7A0000}"/>
    <cellStyle name="Total 6 10 3" xfId="12685" xr:uid="{00000000-0005-0000-0000-0000AC7A0000}"/>
    <cellStyle name="Total 6 10 3 2" xfId="27517" xr:uid="{00000000-0005-0000-0000-0000AD7A0000}"/>
    <cellStyle name="Total 6 10 4" xfId="10200" xr:uid="{00000000-0005-0000-0000-0000AE7A0000}"/>
    <cellStyle name="Total 6 10 4 2" xfId="25032" xr:uid="{00000000-0005-0000-0000-0000AF7A0000}"/>
    <cellStyle name="Total 6 11" xfId="5307" xr:uid="{00000000-0005-0000-0000-0000B07A0000}"/>
    <cellStyle name="Total 6 11 2" xfId="9315" xr:uid="{00000000-0005-0000-0000-0000B17A0000}"/>
    <cellStyle name="Total 6 11 2 2" xfId="18182" xr:uid="{00000000-0005-0000-0000-0000B27A0000}"/>
    <cellStyle name="Total 6 11 2 2 2" xfId="33014" xr:uid="{00000000-0005-0000-0000-0000B37A0000}"/>
    <cellStyle name="Total 6 11 2 3" xfId="19701" xr:uid="{00000000-0005-0000-0000-0000B47A0000}"/>
    <cellStyle name="Total 6 11 3" xfId="15623" xr:uid="{00000000-0005-0000-0000-0000B57A0000}"/>
    <cellStyle name="Total 6 11 3 2" xfId="30455" xr:uid="{00000000-0005-0000-0000-0000B67A0000}"/>
    <cellStyle name="Total 6 12" xfId="5465" xr:uid="{00000000-0005-0000-0000-0000B77A0000}"/>
    <cellStyle name="Total 6 12 2" xfId="15701" xr:uid="{00000000-0005-0000-0000-0000B87A0000}"/>
    <cellStyle name="Total 6 12 2 2" xfId="30533" xr:uid="{00000000-0005-0000-0000-0000B97A0000}"/>
    <cellStyle name="Total 6 12 3" xfId="18278" xr:uid="{00000000-0005-0000-0000-0000BA7A0000}"/>
    <cellStyle name="Total 6 13" xfId="9326" xr:uid="{00000000-0005-0000-0000-0000BB7A0000}"/>
    <cellStyle name="Total 6 13 2" xfId="24632" xr:uid="{00000000-0005-0000-0000-0000BC7A0000}"/>
    <cellStyle name="Total 6 14" xfId="5315" xr:uid="{00000000-0005-0000-0000-0000BD7A0000}"/>
    <cellStyle name="Total 6 14 2" xfId="18189" xr:uid="{00000000-0005-0000-0000-0000BE7A0000}"/>
    <cellStyle name="Total 6 2" xfId="1377" xr:uid="{00000000-0005-0000-0000-0000BF7A0000}"/>
    <cellStyle name="Total 6 2 2" xfId="1881" xr:uid="{00000000-0005-0000-0000-0000C07A0000}"/>
    <cellStyle name="Total 6 2 2 2" xfId="3905" xr:uid="{00000000-0005-0000-0000-0000C17A0000}"/>
    <cellStyle name="Total 6 2 2 2 2" xfId="7956" xr:uid="{00000000-0005-0000-0000-0000C27A0000}"/>
    <cellStyle name="Total 6 2 2 2 2 2" xfId="17423" xr:uid="{00000000-0005-0000-0000-0000C37A0000}"/>
    <cellStyle name="Total 6 2 2 2 2 2 2" xfId="32255" xr:uid="{00000000-0005-0000-0000-0000C47A0000}"/>
    <cellStyle name="Total 6 2 2 2 2 3" xfId="19196" xr:uid="{00000000-0005-0000-0000-0000C57A0000}"/>
    <cellStyle name="Total 6 2 2 2 3" xfId="14238" xr:uid="{00000000-0005-0000-0000-0000C67A0000}"/>
    <cellStyle name="Total 6 2 2 2 3 2" xfId="29070" xr:uid="{00000000-0005-0000-0000-0000C77A0000}"/>
    <cellStyle name="Total 6 2 2 2 4" xfId="11039" xr:uid="{00000000-0005-0000-0000-0000C87A0000}"/>
    <cellStyle name="Total 6 2 2 2 4 2" xfId="25871" xr:uid="{00000000-0005-0000-0000-0000C97A0000}"/>
    <cellStyle name="Total 6 2 2 3" xfId="4859" xr:uid="{00000000-0005-0000-0000-0000CA7A0000}"/>
    <cellStyle name="Total 6 2 2 3 2" xfId="8898" xr:uid="{00000000-0005-0000-0000-0000CB7A0000}"/>
    <cellStyle name="Total 6 2 2 3 2 2" xfId="17939" xr:uid="{00000000-0005-0000-0000-0000CC7A0000}"/>
    <cellStyle name="Total 6 2 2 3 2 2 2" xfId="32771" xr:uid="{00000000-0005-0000-0000-0000CD7A0000}"/>
    <cellStyle name="Total 6 2 2 3 2 3" xfId="19541" xr:uid="{00000000-0005-0000-0000-0000CE7A0000}"/>
    <cellStyle name="Total 6 2 2 3 3" xfId="15183" xr:uid="{00000000-0005-0000-0000-0000CF7A0000}"/>
    <cellStyle name="Total 6 2 2 3 3 2" xfId="30015" xr:uid="{00000000-0005-0000-0000-0000D07A0000}"/>
    <cellStyle name="Total 6 2 2 3 4" xfId="11542" xr:uid="{00000000-0005-0000-0000-0000D17A0000}"/>
    <cellStyle name="Total 6 2 2 3 4 2" xfId="26374" xr:uid="{00000000-0005-0000-0000-0000D27A0000}"/>
    <cellStyle name="Total 6 2 2 4" xfId="2849" xr:uid="{00000000-0005-0000-0000-0000D37A0000}"/>
    <cellStyle name="Total 6 2 2 4 2" xfId="6940" xr:uid="{00000000-0005-0000-0000-0000D47A0000}"/>
    <cellStyle name="Total 6 2 2 4 2 2" xfId="16833" xr:uid="{00000000-0005-0000-0000-0000D57A0000}"/>
    <cellStyle name="Total 6 2 2 4 2 2 2" xfId="31665" xr:uid="{00000000-0005-0000-0000-0000D67A0000}"/>
    <cellStyle name="Total 6 2 2 4 2 3" xfId="18832" xr:uid="{00000000-0005-0000-0000-0000D77A0000}"/>
    <cellStyle name="Total 6 2 2 4 3" xfId="13187" xr:uid="{00000000-0005-0000-0000-0000D87A0000}"/>
    <cellStyle name="Total 6 2 2 4 3 2" xfId="28019" xr:uid="{00000000-0005-0000-0000-0000D97A0000}"/>
    <cellStyle name="Total 6 2 2 4 4" xfId="10486" xr:uid="{00000000-0005-0000-0000-0000DA7A0000}"/>
    <cellStyle name="Total 6 2 2 4 4 2" xfId="25318" xr:uid="{00000000-0005-0000-0000-0000DB7A0000}"/>
    <cellStyle name="Total 6 2 2 5" xfId="6013" xr:uid="{00000000-0005-0000-0000-0000DC7A0000}"/>
    <cellStyle name="Total 6 2 2 5 2" xfId="16205" xr:uid="{00000000-0005-0000-0000-0000DD7A0000}"/>
    <cellStyle name="Total 6 2 2 5 2 2" xfId="31037" xr:uid="{00000000-0005-0000-0000-0000DE7A0000}"/>
    <cellStyle name="Total 6 2 2 5 3" xfId="18474" xr:uid="{00000000-0005-0000-0000-0000DF7A0000}"/>
    <cellStyle name="Total 6 2 2 6" xfId="12275" xr:uid="{00000000-0005-0000-0000-0000E07A0000}"/>
    <cellStyle name="Total 6 2 2 6 2" xfId="27107" xr:uid="{00000000-0005-0000-0000-0000E17A0000}"/>
    <cellStyle name="Total 6 2 2 7" xfId="9871" xr:uid="{00000000-0005-0000-0000-0000E27A0000}"/>
    <cellStyle name="Total 6 2 2 7 2" xfId="24797" xr:uid="{00000000-0005-0000-0000-0000E37A0000}"/>
    <cellStyle name="Total 6 2 3" xfId="4124" xr:uid="{00000000-0005-0000-0000-0000E47A0000}"/>
    <cellStyle name="Total 6 2 3 2" xfId="8168" xr:uid="{00000000-0005-0000-0000-0000E57A0000}"/>
    <cellStyle name="Total 6 2 3 2 2" xfId="17530" xr:uid="{00000000-0005-0000-0000-0000E67A0000}"/>
    <cellStyle name="Total 6 2 3 2 2 2" xfId="32362" xr:uid="{00000000-0005-0000-0000-0000E77A0000}"/>
    <cellStyle name="Total 6 2 3 2 3" xfId="19275" xr:uid="{00000000-0005-0000-0000-0000E87A0000}"/>
    <cellStyle name="Total 6 2 3 3" xfId="14456" xr:uid="{00000000-0005-0000-0000-0000E97A0000}"/>
    <cellStyle name="Total 6 2 3 3 2" xfId="29288" xr:uid="{00000000-0005-0000-0000-0000EA7A0000}"/>
    <cellStyle name="Total 6 2 3 4" xfId="11148" xr:uid="{00000000-0005-0000-0000-0000EB7A0000}"/>
    <cellStyle name="Total 6 2 3 4 2" xfId="25980" xr:uid="{00000000-0005-0000-0000-0000EC7A0000}"/>
    <cellStyle name="Total 6 2 4" xfId="4439" xr:uid="{00000000-0005-0000-0000-0000ED7A0000}"/>
    <cellStyle name="Total 6 2 4 2" xfId="8478" xr:uid="{00000000-0005-0000-0000-0000EE7A0000}"/>
    <cellStyle name="Total 6 2 4 2 2" xfId="17699" xr:uid="{00000000-0005-0000-0000-0000EF7A0000}"/>
    <cellStyle name="Total 6 2 4 2 2 2" xfId="32531" xr:uid="{00000000-0005-0000-0000-0000F07A0000}"/>
    <cellStyle name="Total 6 2 4 2 3" xfId="19381" xr:uid="{00000000-0005-0000-0000-0000F17A0000}"/>
    <cellStyle name="Total 6 2 4 3" xfId="14768" xr:uid="{00000000-0005-0000-0000-0000F27A0000}"/>
    <cellStyle name="Total 6 2 4 3 2" xfId="29600" xr:uid="{00000000-0005-0000-0000-0000F37A0000}"/>
    <cellStyle name="Total 6 2 4 4" xfId="11307" xr:uid="{00000000-0005-0000-0000-0000F47A0000}"/>
    <cellStyle name="Total 6 2 4 4 2" xfId="26139" xr:uid="{00000000-0005-0000-0000-0000F57A0000}"/>
    <cellStyle name="Total 6 2 5" xfId="2429" xr:uid="{00000000-0005-0000-0000-0000F67A0000}"/>
    <cellStyle name="Total 6 2 5 2" xfId="6541" xr:uid="{00000000-0005-0000-0000-0000F77A0000}"/>
    <cellStyle name="Total 6 2 5 2 2" xfId="16597" xr:uid="{00000000-0005-0000-0000-0000F87A0000}"/>
    <cellStyle name="Total 6 2 5 2 2 2" xfId="31429" xr:uid="{00000000-0005-0000-0000-0000F97A0000}"/>
    <cellStyle name="Total 6 2 5 2 3" xfId="18669" xr:uid="{00000000-0005-0000-0000-0000FA7A0000}"/>
    <cellStyle name="Total 6 2 5 3" xfId="12768" xr:uid="{00000000-0005-0000-0000-0000FB7A0000}"/>
    <cellStyle name="Total 6 2 5 3 2" xfId="27600" xr:uid="{00000000-0005-0000-0000-0000FC7A0000}"/>
    <cellStyle name="Total 6 2 5 4" xfId="10247" xr:uid="{00000000-0005-0000-0000-0000FD7A0000}"/>
    <cellStyle name="Total 6 2 5 4 2" xfId="25079" xr:uid="{00000000-0005-0000-0000-0000FE7A0000}"/>
    <cellStyle name="Total 6 2 6" xfId="5554" xr:uid="{00000000-0005-0000-0000-0000FF7A0000}"/>
    <cellStyle name="Total 6 2 6 2" xfId="15789" xr:uid="{00000000-0005-0000-0000-0000007B0000}"/>
    <cellStyle name="Total 6 2 6 2 2" xfId="30621" xr:uid="{00000000-0005-0000-0000-0000017B0000}"/>
    <cellStyle name="Total 6 2 6 3" xfId="18311" xr:uid="{00000000-0005-0000-0000-0000027B0000}"/>
    <cellStyle name="Total 6 2 7" xfId="11804" xr:uid="{00000000-0005-0000-0000-0000037B0000}"/>
    <cellStyle name="Total 6 2 7 2" xfId="26636" xr:uid="{00000000-0005-0000-0000-0000047B0000}"/>
    <cellStyle name="Total 6 2 8" xfId="9475" xr:uid="{00000000-0005-0000-0000-0000057B0000}"/>
    <cellStyle name="Total 6 2 8 2" xfId="19779" xr:uid="{00000000-0005-0000-0000-0000067B0000}"/>
    <cellStyle name="Total 6 3" xfId="1549" xr:uid="{00000000-0005-0000-0000-0000077B0000}"/>
    <cellStyle name="Total 6 3 2" xfId="2046" xr:uid="{00000000-0005-0000-0000-0000087B0000}"/>
    <cellStyle name="Total 6 3 2 2" xfId="4321" xr:uid="{00000000-0005-0000-0000-0000097B0000}"/>
    <cellStyle name="Total 6 3 2 2 2" xfId="8360" xr:uid="{00000000-0005-0000-0000-00000A7B0000}"/>
    <cellStyle name="Total 6 3 2 2 2 2" xfId="17638" xr:uid="{00000000-0005-0000-0000-00000B7B0000}"/>
    <cellStyle name="Total 6 3 2 2 2 2 2" xfId="32470" xr:uid="{00000000-0005-0000-0000-00000C7B0000}"/>
    <cellStyle name="Total 6 3 2 2 2 3" xfId="19340" xr:uid="{00000000-0005-0000-0000-00000D7B0000}"/>
    <cellStyle name="Total 6 3 2 2 3" xfId="14652" xr:uid="{00000000-0005-0000-0000-00000E7B0000}"/>
    <cellStyle name="Total 6 3 2 2 3 2" xfId="29484" xr:uid="{00000000-0005-0000-0000-00000F7B0000}"/>
    <cellStyle name="Total 6 3 2 2 4" xfId="11248" xr:uid="{00000000-0005-0000-0000-0000107B0000}"/>
    <cellStyle name="Total 6 3 2 2 4 2" xfId="26080" xr:uid="{00000000-0005-0000-0000-0000117B0000}"/>
    <cellStyle name="Total 6 3 2 3" xfId="5014" xr:uid="{00000000-0005-0000-0000-0000127B0000}"/>
    <cellStyle name="Total 6 3 2 3 2" xfId="9053" xr:uid="{00000000-0005-0000-0000-0000137B0000}"/>
    <cellStyle name="Total 6 3 2 3 2 2" xfId="17991" xr:uid="{00000000-0005-0000-0000-0000147B0000}"/>
    <cellStyle name="Total 6 3 2 3 2 2 2" xfId="32823" xr:uid="{00000000-0005-0000-0000-0000157B0000}"/>
    <cellStyle name="Total 6 3 2 3 2 3" xfId="19573" xr:uid="{00000000-0005-0000-0000-0000167B0000}"/>
    <cellStyle name="Total 6 3 2 3 3" xfId="15336" xr:uid="{00000000-0005-0000-0000-0000177B0000}"/>
    <cellStyle name="Total 6 3 2 3 3 2" xfId="30168" xr:uid="{00000000-0005-0000-0000-0000187B0000}"/>
    <cellStyle name="Total 6 3 2 3 4" xfId="11592" xr:uid="{00000000-0005-0000-0000-0000197B0000}"/>
    <cellStyle name="Total 6 3 2 3 4 2" xfId="26424" xr:uid="{00000000-0005-0000-0000-00001A7B0000}"/>
    <cellStyle name="Total 6 3 2 4" xfId="3004" xr:uid="{00000000-0005-0000-0000-00001B7B0000}"/>
    <cellStyle name="Total 6 3 2 4 2" xfId="7084" xr:uid="{00000000-0005-0000-0000-00001C7B0000}"/>
    <cellStyle name="Total 6 3 2 4 2 2" xfId="16883" xr:uid="{00000000-0005-0000-0000-00001D7B0000}"/>
    <cellStyle name="Total 6 3 2 4 2 2 2" xfId="31715" xr:uid="{00000000-0005-0000-0000-00001E7B0000}"/>
    <cellStyle name="Total 6 3 2 4 2 3" xfId="18865" xr:uid="{00000000-0005-0000-0000-00001F7B0000}"/>
    <cellStyle name="Total 6 3 2 4 3" xfId="13342" xr:uid="{00000000-0005-0000-0000-0000207B0000}"/>
    <cellStyle name="Total 6 3 2 4 3 2" xfId="28174" xr:uid="{00000000-0005-0000-0000-0000217B0000}"/>
    <cellStyle name="Total 6 3 2 4 4" xfId="10538" xr:uid="{00000000-0005-0000-0000-0000227B0000}"/>
    <cellStyle name="Total 6 3 2 4 4 2" xfId="25370" xr:uid="{00000000-0005-0000-0000-0000237B0000}"/>
    <cellStyle name="Total 6 3 2 5" xfId="6176" xr:uid="{00000000-0005-0000-0000-0000247B0000}"/>
    <cellStyle name="Total 6 3 2 5 2" xfId="16363" xr:uid="{00000000-0005-0000-0000-0000257B0000}"/>
    <cellStyle name="Total 6 3 2 5 2 2" xfId="31195" xr:uid="{00000000-0005-0000-0000-0000267B0000}"/>
    <cellStyle name="Total 6 3 2 5 3" xfId="18506" xr:uid="{00000000-0005-0000-0000-0000277B0000}"/>
    <cellStyle name="Total 6 3 2 6" xfId="12433" xr:uid="{00000000-0005-0000-0000-0000287B0000}"/>
    <cellStyle name="Total 6 3 2 6 2" xfId="27265" xr:uid="{00000000-0005-0000-0000-0000297B0000}"/>
    <cellStyle name="Total 6 3 2 7" xfId="10015" xr:uid="{00000000-0005-0000-0000-00002A7B0000}"/>
    <cellStyle name="Total 6 3 2 7 2" xfId="24847" xr:uid="{00000000-0005-0000-0000-00002B7B0000}"/>
    <cellStyle name="Total 6 3 3" xfId="3203" xr:uid="{00000000-0005-0000-0000-00002C7B0000}"/>
    <cellStyle name="Total 6 3 3 2" xfId="7267" xr:uid="{00000000-0005-0000-0000-00002D7B0000}"/>
    <cellStyle name="Total 6 3 3 2 2" xfId="17034" xr:uid="{00000000-0005-0000-0000-00002E7B0000}"/>
    <cellStyle name="Total 6 3 3 2 2 2" xfId="31866" xr:uid="{00000000-0005-0000-0000-00002F7B0000}"/>
    <cellStyle name="Total 6 3 3 2 3" xfId="18961" xr:uid="{00000000-0005-0000-0000-0000307B0000}"/>
    <cellStyle name="Total 6 3 3 3" xfId="13541" xr:uid="{00000000-0005-0000-0000-0000317B0000}"/>
    <cellStyle name="Total 6 3 3 3 2" xfId="28373" xr:uid="{00000000-0005-0000-0000-0000327B0000}"/>
    <cellStyle name="Total 6 3 3 4" xfId="10678" xr:uid="{00000000-0005-0000-0000-0000337B0000}"/>
    <cellStyle name="Total 6 3 3 4 2" xfId="25510" xr:uid="{00000000-0005-0000-0000-0000347B0000}"/>
    <cellStyle name="Total 6 3 4" xfId="4594" xr:uid="{00000000-0005-0000-0000-0000357B0000}"/>
    <cellStyle name="Total 6 3 4 2" xfId="8633" xr:uid="{00000000-0005-0000-0000-0000367B0000}"/>
    <cellStyle name="Total 6 3 4 2 2" xfId="17751" xr:uid="{00000000-0005-0000-0000-0000377B0000}"/>
    <cellStyle name="Total 6 3 4 2 2 2" xfId="32583" xr:uid="{00000000-0005-0000-0000-0000387B0000}"/>
    <cellStyle name="Total 6 3 4 2 3" xfId="19413" xr:uid="{00000000-0005-0000-0000-0000397B0000}"/>
    <cellStyle name="Total 6 3 4 3" xfId="14921" xr:uid="{00000000-0005-0000-0000-00003A7B0000}"/>
    <cellStyle name="Total 6 3 4 3 2" xfId="29753" xr:uid="{00000000-0005-0000-0000-00003B7B0000}"/>
    <cellStyle name="Total 6 3 4 4" xfId="11357" xr:uid="{00000000-0005-0000-0000-00003C7B0000}"/>
    <cellStyle name="Total 6 3 4 4 2" xfId="26189" xr:uid="{00000000-0005-0000-0000-00003D7B0000}"/>
    <cellStyle name="Total 6 3 5" xfId="2584" xr:uid="{00000000-0005-0000-0000-00003E7B0000}"/>
    <cellStyle name="Total 6 3 5 2" xfId="6690" xr:uid="{00000000-0005-0000-0000-00003F7B0000}"/>
    <cellStyle name="Total 6 3 5 2 2" xfId="16648" xr:uid="{00000000-0005-0000-0000-0000407B0000}"/>
    <cellStyle name="Total 6 3 5 2 2 2" xfId="31480" xr:uid="{00000000-0005-0000-0000-0000417B0000}"/>
    <cellStyle name="Total 6 3 5 2 3" xfId="18701" xr:uid="{00000000-0005-0000-0000-0000427B0000}"/>
    <cellStyle name="Total 6 3 5 3" xfId="12922" xr:uid="{00000000-0005-0000-0000-0000437B0000}"/>
    <cellStyle name="Total 6 3 5 3 2" xfId="27754" xr:uid="{00000000-0005-0000-0000-0000447B0000}"/>
    <cellStyle name="Total 6 3 5 4" xfId="10298" xr:uid="{00000000-0005-0000-0000-0000457B0000}"/>
    <cellStyle name="Total 6 3 5 4 2" xfId="25130" xr:uid="{00000000-0005-0000-0000-0000467B0000}"/>
    <cellStyle name="Total 6 3 6" xfId="5707" xr:uid="{00000000-0005-0000-0000-0000477B0000}"/>
    <cellStyle name="Total 6 3 6 2" xfId="15942" xr:uid="{00000000-0005-0000-0000-0000487B0000}"/>
    <cellStyle name="Total 6 3 6 2 2" xfId="30774" xr:uid="{00000000-0005-0000-0000-0000497B0000}"/>
    <cellStyle name="Total 6 3 6 3" xfId="18343" xr:uid="{00000000-0005-0000-0000-00004A7B0000}"/>
    <cellStyle name="Total 6 3 7" xfId="11962" xr:uid="{00000000-0005-0000-0000-00004B7B0000}"/>
    <cellStyle name="Total 6 3 7 2" xfId="26794" xr:uid="{00000000-0005-0000-0000-00004C7B0000}"/>
    <cellStyle name="Total 6 3 8" xfId="9620" xr:uid="{00000000-0005-0000-0000-00004D7B0000}"/>
    <cellStyle name="Total 6 3 8 2" xfId="19922" xr:uid="{00000000-0005-0000-0000-00004E7B0000}"/>
    <cellStyle name="Total 6 4" xfId="1602" xr:uid="{00000000-0005-0000-0000-00004F7B0000}"/>
    <cellStyle name="Total 6 4 2" xfId="2099" xr:uid="{00000000-0005-0000-0000-0000507B0000}"/>
    <cellStyle name="Total 6 4 2 2" xfId="4041" xr:uid="{00000000-0005-0000-0000-0000517B0000}"/>
    <cellStyle name="Total 6 4 2 2 2" xfId="8088" xr:uid="{00000000-0005-0000-0000-0000527B0000}"/>
    <cellStyle name="Total 6 4 2 2 2 2" xfId="17489" xr:uid="{00000000-0005-0000-0000-0000537B0000}"/>
    <cellStyle name="Total 6 4 2 2 2 2 2" xfId="32321" xr:uid="{00000000-0005-0000-0000-0000547B0000}"/>
    <cellStyle name="Total 6 4 2 2 2 3" xfId="19245" xr:uid="{00000000-0005-0000-0000-0000557B0000}"/>
    <cellStyle name="Total 6 4 2 2 3" xfId="14373" xr:uid="{00000000-0005-0000-0000-0000567B0000}"/>
    <cellStyle name="Total 6 4 2 2 3 2" xfId="29205" xr:uid="{00000000-0005-0000-0000-0000577B0000}"/>
    <cellStyle name="Total 6 4 2 2 4" xfId="11105" xr:uid="{00000000-0005-0000-0000-0000587B0000}"/>
    <cellStyle name="Total 6 4 2 2 4 2" xfId="25937" xr:uid="{00000000-0005-0000-0000-0000597B0000}"/>
    <cellStyle name="Total 6 4 2 3" xfId="5067" xr:uid="{00000000-0005-0000-0000-00005A7B0000}"/>
    <cellStyle name="Total 6 4 2 3 2" xfId="9106" xr:uid="{00000000-0005-0000-0000-00005B7B0000}"/>
    <cellStyle name="Total 6 4 2 3 2 2" xfId="18039" xr:uid="{00000000-0005-0000-0000-00005C7B0000}"/>
    <cellStyle name="Total 6 4 2 3 2 2 2" xfId="32871" xr:uid="{00000000-0005-0000-0000-00005D7B0000}"/>
    <cellStyle name="Total 6 4 2 3 2 3" xfId="19605" xr:uid="{00000000-0005-0000-0000-00005E7B0000}"/>
    <cellStyle name="Total 6 4 2 3 3" xfId="15388" xr:uid="{00000000-0005-0000-0000-00005F7B0000}"/>
    <cellStyle name="Total 6 4 2 3 3 2" xfId="30220" xr:uid="{00000000-0005-0000-0000-0000607B0000}"/>
    <cellStyle name="Total 6 4 2 3 4" xfId="11639" xr:uid="{00000000-0005-0000-0000-0000617B0000}"/>
    <cellStyle name="Total 6 4 2 3 4 2" xfId="26471" xr:uid="{00000000-0005-0000-0000-0000627B0000}"/>
    <cellStyle name="Total 6 4 2 4" xfId="3057" xr:uid="{00000000-0005-0000-0000-0000637B0000}"/>
    <cellStyle name="Total 6 4 2 4 2" xfId="7132" xr:uid="{00000000-0005-0000-0000-0000647B0000}"/>
    <cellStyle name="Total 6 4 2 4 2 2" xfId="16930" xr:uid="{00000000-0005-0000-0000-0000657B0000}"/>
    <cellStyle name="Total 6 4 2 4 2 2 2" xfId="31762" xr:uid="{00000000-0005-0000-0000-0000667B0000}"/>
    <cellStyle name="Total 6 4 2 4 2 3" xfId="18898" xr:uid="{00000000-0005-0000-0000-0000677B0000}"/>
    <cellStyle name="Total 6 4 2 4 3" xfId="13395" xr:uid="{00000000-0005-0000-0000-0000687B0000}"/>
    <cellStyle name="Total 6 4 2 4 3 2" xfId="28227" xr:uid="{00000000-0005-0000-0000-0000697B0000}"/>
    <cellStyle name="Total 6 4 2 4 4" xfId="10586" xr:uid="{00000000-0005-0000-0000-00006A7B0000}"/>
    <cellStyle name="Total 6 4 2 4 4 2" xfId="25418" xr:uid="{00000000-0005-0000-0000-00006B7B0000}"/>
    <cellStyle name="Total 6 4 2 5" xfId="6224" xr:uid="{00000000-0005-0000-0000-00006C7B0000}"/>
    <cellStyle name="Total 6 4 2 5 2" xfId="16410" xr:uid="{00000000-0005-0000-0000-00006D7B0000}"/>
    <cellStyle name="Total 6 4 2 5 2 2" xfId="31242" xr:uid="{00000000-0005-0000-0000-00006E7B0000}"/>
    <cellStyle name="Total 6 4 2 5 3" xfId="18539" xr:uid="{00000000-0005-0000-0000-00006F7B0000}"/>
    <cellStyle name="Total 6 4 2 6" xfId="12480" xr:uid="{00000000-0005-0000-0000-0000707B0000}"/>
    <cellStyle name="Total 6 4 2 6 2" xfId="27312" xr:uid="{00000000-0005-0000-0000-0000717B0000}"/>
    <cellStyle name="Total 6 4 2 7" xfId="10062" xr:uid="{00000000-0005-0000-0000-0000727B0000}"/>
    <cellStyle name="Total 6 4 2 7 2" xfId="24894" xr:uid="{00000000-0005-0000-0000-0000737B0000}"/>
    <cellStyle name="Total 6 4 3" xfId="3763" xr:uid="{00000000-0005-0000-0000-0000747B0000}"/>
    <cellStyle name="Total 6 4 3 2" xfId="7819" xr:uid="{00000000-0005-0000-0000-0000757B0000}"/>
    <cellStyle name="Total 6 4 3 2 2" xfId="17354" xr:uid="{00000000-0005-0000-0000-0000767B0000}"/>
    <cellStyle name="Total 6 4 3 2 2 2" xfId="32186" xr:uid="{00000000-0005-0000-0000-0000777B0000}"/>
    <cellStyle name="Total 6 4 3 2 3" xfId="19148" xr:uid="{00000000-0005-0000-0000-0000787B0000}"/>
    <cellStyle name="Total 6 4 3 3" xfId="14098" xr:uid="{00000000-0005-0000-0000-0000797B0000}"/>
    <cellStyle name="Total 6 4 3 3 2" xfId="28930" xr:uid="{00000000-0005-0000-0000-00007A7B0000}"/>
    <cellStyle name="Total 6 4 3 4" xfId="10970" xr:uid="{00000000-0005-0000-0000-00007B7B0000}"/>
    <cellStyle name="Total 6 4 3 4 2" xfId="25802" xr:uid="{00000000-0005-0000-0000-00007C7B0000}"/>
    <cellStyle name="Total 6 4 4" xfId="4647" xr:uid="{00000000-0005-0000-0000-00007D7B0000}"/>
    <cellStyle name="Total 6 4 4 2" xfId="8686" xr:uid="{00000000-0005-0000-0000-00007E7B0000}"/>
    <cellStyle name="Total 6 4 4 2 2" xfId="17799" xr:uid="{00000000-0005-0000-0000-00007F7B0000}"/>
    <cellStyle name="Total 6 4 4 2 2 2" xfId="32631" xr:uid="{00000000-0005-0000-0000-0000807B0000}"/>
    <cellStyle name="Total 6 4 4 2 3" xfId="19445" xr:uid="{00000000-0005-0000-0000-0000817B0000}"/>
    <cellStyle name="Total 6 4 4 3" xfId="14973" xr:uid="{00000000-0005-0000-0000-0000827B0000}"/>
    <cellStyle name="Total 6 4 4 3 2" xfId="29805" xr:uid="{00000000-0005-0000-0000-0000837B0000}"/>
    <cellStyle name="Total 6 4 4 4" xfId="11404" xr:uid="{00000000-0005-0000-0000-0000847B0000}"/>
    <cellStyle name="Total 6 4 4 4 2" xfId="26236" xr:uid="{00000000-0005-0000-0000-0000857B0000}"/>
    <cellStyle name="Total 6 4 5" xfId="2637" xr:uid="{00000000-0005-0000-0000-0000867B0000}"/>
    <cellStyle name="Total 6 4 5 2" xfId="6738" xr:uid="{00000000-0005-0000-0000-0000877B0000}"/>
    <cellStyle name="Total 6 4 5 2 2" xfId="16695" xr:uid="{00000000-0005-0000-0000-0000887B0000}"/>
    <cellStyle name="Total 6 4 5 2 2 2" xfId="31527" xr:uid="{00000000-0005-0000-0000-0000897B0000}"/>
    <cellStyle name="Total 6 4 5 2 3" xfId="18734" xr:uid="{00000000-0005-0000-0000-00008A7B0000}"/>
    <cellStyle name="Total 6 4 5 3" xfId="12975" xr:uid="{00000000-0005-0000-0000-00008B7B0000}"/>
    <cellStyle name="Total 6 4 5 3 2" xfId="27807" xr:uid="{00000000-0005-0000-0000-00008C7B0000}"/>
    <cellStyle name="Total 6 4 5 4" xfId="10346" xr:uid="{00000000-0005-0000-0000-00008D7B0000}"/>
    <cellStyle name="Total 6 4 5 4 2" xfId="25178" xr:uid="{00000000-0005-0000-0000-00008E7B0000}"/>
    <cellStyle name="Total 6 4 6" xfId="5754" xr:uid="{00000000-0005-0000-0000-00008F7B0000}"/>
    <cellStyle name="Total 6 4 6 2" xfId="15989" xr:uid="{00000000-0005-0000-0000-0000907B0000}"/>
    <cellStyle name="Total 6 4 6 2 2" xfId="30821" xr:uid="{00000000-0005-0000-0000-0000917B0000}"/>
    <cellStyle name="Total 6 4 6 3" xfId="18375" xr:uid="{00000000-0005-0000-0000-0000927B0000}"/>
    <cellStyle name="Total 6 4 7" xfId="12009" xr:uid="{00000000-0005-0000-0000-0000937B0000}"/>
    <cellStyle name="Total 6 4 7 2" xfId="26841" xr:uid="{00000000-0005-0000-0000-0000947B0000}"/>
    <cellStyle name="Total 6 4 8" xfId="9668" xr:uid="{00000000-0005-0000-0000-0000957B0000}"/>
    <cellStyle name="Total 6 4 8 2" xfId="19969" xr:uid="{00000000-0005-0000-0000-0000967B0000}"/>
    <cellStyle name="Total 6 5" xfId="1652" xr:uid="{00000000-0005-0000-0000-0000977B0000}"/>
    <cellStyle name="Total 6 5 2" xfId="2149" xr:uid="{00000000-0005-0000-0000-0000987B0000}"/>
    <cellStyle name="Total 6 5 2 2" xfId="3904" xr:uid="{00000000-0005-0000-0000-0000997B0000}"/>
    <cellStyle name="Total 6 5 2 2 2" xfId="7955" xr:uid="{00000000-0005-0000-0000-00009A7B0000}"/>
    <cellStyle name="Total 6 5 2 2 2 2" xfId="17422" xr:uid="{00000000-0005-0000-0000-00009B7B0000}"/>
    <cellStyle name="Total 6 5 2 2 2 2 2" xfId="32254" xr:uid="{00000000-0005-0000-0000-00009C7B0000}"/>
    <cellStyle name="Total 6 5 2 2 2 3" xfId="19195" xr:uid="{00000000-0005-0000-0000-00009D7B0000}"/>
    <cellStyle name="Total 6 5 2 2 3" xfId="14237" xr:uid="{00000000-0005-0000-0000-00009E7B0000}"/>
    <cellStyle name="Total 6 5 2 2 3 2" xfId="29069" xr:uid="{00000000-0005-0000-0000-00009F7B0000}"/>
    <cellStyle name="Total 6 5 2 2 4" xfId="11038" xr:uid="{00000000-0005-0000-0000-0000A07B0000}"/>
    <cellStyle name="Total 6 5 2 2 4 2" xfId="25870" xr:uid="{00000000-0005-0000-0000-0000A17B0000}"/>
    <cellStyle name="Total 6 5 2 3" xfId="5117" xr:uid="{00000000-0005-0000-0000-0000A27B0000}"/>
    <cellStyle name="Total 6 5 2 3 2" xfId="9156" xr:uid="{00000000-0005-0000-0000-0000A37B0000}"/>
    <cellStyle name="Total 6 5 2 3 2 2" xfId="18084" xr:uid="{00000000-0005-0000-0000-0000A47B0000}"/>
    <cellStyle name="Total 6 5 2 3 2 2 2" xfId="32916" xr:uid="{00000000-0005-0000-0000-0000A57B0000}"/>
    <cellStyle name="Total 6 5 2 3 2 3" xfId="19637" xr:uid="{00000000-0005-0000-0000-0000A67B0000}"/>
    <cellStyle name="Total 6 5 2 3 3" xfId="15437" xr:uid="{00000000-0005-0000-0000-0000A77B0000}"/>
    <cellStyle name="Total 6 5 2 3 3 2" xfId="30269" xr:uid="{00000000-0005-0000-0000-0000A87B0000}"/>
    <cellStyle name="Total 6 5 2 3 4" xfId="11683" xr:uid="{00000000-0005-0000-0000-0000A97B0000}"/>
    <cellStyle name="Total 6 5 2 3 4 2" xfId="26515" xr:uid="{00000000-0005-0000-0000-0000AA7B0000}"/>
    <cellStyle name="Total 6 5 2 4" xfId="3107" xr:uid="{00000000-0005-0000-0000-0000AB7B0000}"/>
    <cellStyle name="Total 6 5 2 4 2" xfId="7177" xr:uid="{00000000-0005-0000-0000-0000AC7B0000}"/>
    <cellStyle name="Total 6 5 2 4 2 2" xfId="16974" xr:uid="{00000000-0005-0000-0000-0000AD7B0000}"/>
    <cellStyle name="Total 6 5 2 4 2 2 2" xfId="31806" xr:uid="{00000000-0005-0000-0000-0000AE7B0000}"/>
    <cellStyle name="Total 6 5 2 4 2 3" xfId="18931" xr:uid="{00000000-0005-0000-0000-0000AF7B0000}"/>
    <cellStyle name="Total 6 5 2 4 3" xfId="13445" xr:uid="{00000000-0005-0000-0000-0000B07B0000}"/>
    <cellStyle name="Total 6 5 2 4 3 2" xfId="28277" xr:uid="{00000000-0005-0000-0000-0000B17B0000}"/>
    <cellStyle name="Total 6 5 2 4 4" xfId="10631" xr:uid="{00000000-0005-0000-0000-0000B27B0000}"/>
    <cellStyle name="Total 6 5 2 4 4 2" xfId="25463" xr:uid="{00000000-0005-0000-0000-0000B37B0000}"/>
    <cellStyle name="Total 6 5 2 5" xfId="6269" xr:uid="{00000000-0005-0000-0000-0000B47B0000}"/>
    <cellStyle name="Total 6 5 2 5 2" xfId="16454" xr:uid="{00000000-0005-0000-0000-0000B57B0000}"/>
    <cellStyle name="Total 6 5 2 5 2 2" xfId="31286" xr:uid="{00000000-0005-0000-0000-0000B67B0000}"/>
    <cellStyle name="Total 6 5 2 5 3" xfId="18572" xr:uid="{00000000-0005-0000-0000-0000B77B0000}"/>
    <cellStyle name="Total 6 5 2 6" xfId="12524" xr:uid="{00000000-0005-0000-0000-0000B87B0000}"/>
    <cellStyle name="Total 6 5 2 6 2" xfId="27356" xr:uid="{00000000-0005-0000-0000-0000B97B0000}"/>
    <cellStyle name="Total 6 5 2 7" xfId="10106" xr:uid="{00000000-0005-0000-0000-0000BA7B0000}"/>
    <cellStyle name="Total 6 5 2 7 2" xfId="24938" xr:uid="{00000000-0005-0000-0000-0000BB7B0000}"/>
    <cellStyle name="Total 6 5 3" xfId="3631" xr:uid="{00000000-0005-0000-0000-0000BC7B0000}"/>
    <cellStyle name="Total 6 5 3 2" xfId="7690" xr:uid="{00000000-0005-0000-0000-0000BD7B0000}"/>
    <cellStyle name="Total 6 5 3 2 2" xfId="17290" xr:uid="{00000000-0005-0000-0000-0000BE7B0000}"/>
    <cellStyle name="Total 6 5 3 2 2 2" xfId="32122" xr:uid="{00000000-0005-0000-0000-0000BF7B0000}"/>
    <cellStyle name="Total 6 5 3 2 3" xfId="19104" xr:uid="{00000000-0005-0000-0000-0000C07B0000}"/>
    <cellStyle name="Total 6 5 3 3" xfId="13966" xr:uid="{00000000-0005-0000-0000-0000C17B0000}"/>
    <cellStyle name="Total 6 5 3 3 2" xfId="28798" xr:uid="{00000000-0005-0000-0000-0000C27B0000}"/>
    <cellStyle name="Total 6 5 3 4" xfId="10906" xr:uid="{00000000-0005-0000-0000-0000C37B0000}"/>
    <cellStyle name="Total 6 5 3 4 2" xfId="25738" xr:uid="{00000000-0005-0000-0000-0000C47B0000}"/>
    <cellStyle name="Total 6 5 4" xfId="4697" xr:uid="{00000000-0005-0000-0000-0000C57B0000}"/>
    <cellStyle name="Total 6 5 4 2" xfId="8736" xr:uid="{00000000-0005-0000-0000-0000C67B0000}"/>
    <cellStyle name="Total 6 5 4 2 2" xfId="17844" xr:uid="{00000000-0005-0000-0000-0000C77B0000}"/>
    <cellStyle name="Total 6 5 4 2 2 2" xfId="32676" xr:uid="{00000000-0005-0000-0000-0000C87B0000}"/>
    <cellStyle name="Total 6 5 4 2 3" xfId="19477" xr:uid="{00000000-0005-0000-0000-0000C97B0000}"/>
    <cellStyle name="Total 6 5 4 3" xfId="15022" xr:uid="{00000000-0005-0000-0000-0000CA7B0000}"/>
    <cellStyle name="Total 6 5 4 3 2" xfId="29854" xr:uid="{00000000-0005-0000-0000-0000CB7B0000}"/>
    <cellStyle name="Total 6 5 4 4" xfId="11448" xr:uid="{00000000-0005-0000-0000-0000CC7B0000}"/>
    <cellStyle name="Total 6 5 4 4 2" xfId="26280" xr:uid="{00000000-0005-0000-0000-0000CD7B0000}"/>
    <cellStyle name="Total 6 5 5" xfId="2687" xr:uid="{00000000-0005-0000-0000-0000CE7B0000}"/>
    <cellStyle name="Total 6 5 5 2" xfId="6783" xr:uid="{00000000-0005-0000-0000-0000CF7B0000}"/>
    <cellStyle name="Total 6 5 5 2 2" xfId="16739" xr:uid="{00000000-0005-0000-0000-0000D07B0000}"/>
    <cellStyle name="Total 6 5 5 2 2 2" xfId="31571" xr:uid="{00000000-0005-0000-0000-0000D17B0000}"/>
    <cellStyle name="Total 6 5 5 2 3" xfId="18767" xr:uid="{00000000-0005-0000-0000-0000D27B0000}"/>
    <cellStyle name="Total 6 5 5 3" xfId="13025" xr:uid="{00000000-0005-0000-0000-0000D37B0000}"/>
    <cellStyle name="Total 6 5 5 3 2" xfId="27857" xr:uid="{00000000-0005-0000-0000-0000D47B0000}"/>
    <cellStyle name="Total 6 5 5 4" xfId="10391" xr:uid="{00000000-0005-0000-0000-0000D57B0000}"/>
    <cellStyle name="Total 6 5 5 4 2" xfId="25223" xr:uid="{00000000-0005-0000-0000-0000D67B0000}"/>
    <cellStyle name="Total 6 5 6" xfId="5799" xr:uid="{00000000-0005-0000-0000-0000D77B0000}"/>
    <cellStyle name="Total 6 5 6 2" xfId="16033" xr:uid="{00000000-0005-0000-0000-0000D87B0000}"/>
    <cellStyle name="Total 6 5 6 2 2" xfId="30865" xr:uid="{00000000-0005-0000-0000-0000D97B0000}"/>
    <cellStyle name="Total 6 5 6 3" xfId="18408" xr:uid="{00000000-0005-0000-0000-0000DA7B0000}"/>
    <cellStyle name="Total 6 5 7" xfId="12053" xr:uid="{00000000-0005-0000-0000-0000DB7B0000}"/>
    <cellStyle name="Total 6 5 7 2" xfId="26885" xr:uid="{00000000-0005-0000-0000-0000DC7B0000}"/>
    <cellStyle name="Total 6 5 8" xfId="9713" xr:uid="{00000000-0005-0000-0000-0000DD7B0000}"/>
    <cellStyle name="Total 6 5 8 2" xfId="20013" xr:uid="{00000000-0005-0000-0000-0000DE7B0000}"/>
    <cellStyle name="Total 6 6" xfId="1803" xr:uid="{00000000-0005-0000-0000-0000DF7B0000}"/>
    <cellStyle name="Total 6 6 2" xfId="3676" xr:uid="{00000000-0005-0000-0000-0000E07B0000}"/>
    <cellStyle name="Total 6 6 2 2" xfId="7734" xr:uid="{00000000-0005-0000-0000-0000E17B0000}"/>
    <cellStyle name="Total 6 6 2 2 2" xfId="17311" xr:uid="{00000000-0005-0000-0000-0000E27B0000}"/>
    <cellStyle name="Total 6 6 2 2 2 2" xfId="32143" xr:uid="{00000000-0005-0000-0000-0000E37B0000}"/>
    <cellStyle name="Total 6 6 2 2 3" xfId="19119" xr:uid="{00000000-0005-0000-0000-0000E47B0000}"/>
    <cellStyle name="Total 6 6 2 3" xfId="14011" xr:uid="{00000000-0005-0000-0000-0000E57B0000}"/>
    <cellStyle name="Total 6 6 2 3 2" xfId="28843" xr:uid="{00000000-0005-0000-0000-0000E67B0000}"/>
    <cellStyle name="Total 6 6 2 4" xfId="10928" xr:uid="{00000000-0005-0000-0000-0000E77B0000}"/>
    <cellStyle name="Total 6 6 2 4 2" xfId="25760" xr:uid="{00000000-0005-0000-0000-0000E87B0000}"/>
    <cellStyle name="Total 6 6 3" xfId="4781" xr:uid="{00000000-0005-0000-0000-0000E97B0000}"/>
    <cellStyle name="Total 6 6 3 2" xfId="8820" xr:uid="{00000000-0005-0000-0000-0000EA7B0000}"/>
    <cellStyle name="Total 6 6 3 2 2" xfId="17892" xr:uid="{00000000-0005-0000-0000-0000EB7B0000}"/>
    <cellStyle name="Total 6 6 3 2 2 2" xfId="32724" xr:uid="{00000000-0005-0000-0000-0000EC7B0000}"/>
    <cellStyle name="Total 6 6 3 2 3" xfId="19509" xr:uid="{00000000-0005-0000-0000-0000ED7B0000}"/>
    <cellStyle name="Total 6 6 3 3" xfId="15105" xr:uid="{00000000-0005-0000-0000-0000EE7B0000}"/>
    <cellStyle name="Total 6 6 3 3 2" xfId="29937" xr:uid="{00000000-0005-0000-0000-0000EF7B0000}"/>
    <cellStyle name="Total 6 6 3 4" xfId="11495" xr:uid="{00000000-0005-0000-0000-0000F07B0000}"/>
    <cellStyle name="Total 6 6 3 4 2" xfId="26327" xr:uid="{00000000-0005-0000-0000-0000F17B0000}"/>
    <cellStyle name="Total 6 6 4" xfId="2771" xr:uid="{00000000-0005-0000-0000-0000F27B0000}"/>
    <cellStyle name="Total 6 6 4 2" xfId="6862" xr:uid="{00000000-0005-0000-0000-0000F37B0000}"/>
    <cellStyle name="Total 6 6 4 2 2" xfId="16786" xr:uid="{00000000-0005-0000-0000-0000F47B0000}"/>
    <cellStyle name="Total 6 6 4 2 2 2" xfId="31618" xr:uid="{00000000-0005-0000-0000-0000F57B0000}"/>
    <cellStyle name="Total 6 6 4 2 3" xfId="18800" xr:uid="{00000000-0005-0000-0000-0000F67B0000}"/>
    <cellStyle name="Total 6 6 4 3" xfId="13109" xr:uid="{00000000-0005-0000-0000-0000F77B0000}"/>
    <cellStyle name="Total 6 6 4 3 2" xfId="27941" xr:uid="{00000000-0005-0000-0000-0000F87B0000}"/>
    <cellStyle name="Total 6 6 4 4" xfId="10439" xr:uid="{00000000-0005-0000-0000-0000F97B0000}"/>
    <cellStyle name="Total 6 6 4 4 2" xfId="25271" xr:uid="{00000000-0005-0000-0000-0000FA7B0000}"/>
    <cellStyle name="Total 6 6 5" xfId="5935" xr:uid="{00000000-0005-0000-0000-0000FB7B0000}"/>
    <cellStyle name="Total 6 6 5 2" xfId="16127" xr:uid="{00000000-0005-0000-0000-0000FC7B0000}"/>
    <cellStyle name="Total 6 6 5 2 2" xfId="30959" xr:uid="{00000000-0005-0000-0000-0000FD7B0000}"/>
    <cellStyle name="Total 6 6 5 3" xfId="18442" xr:uid="{00000000-0005-0000-0000-0000FE7B0000}"/>
    <cellStyle name="Total 6 6 6" xfId="12197" xr:uid="{00000000-0005-0000-0000-0000FF7B0000}"/>
    <cellStyle name="Total 6 6 6 2" xfId="27029" xr:uid="{00000000-0005-0000-0000-0000007C0000}"/>
    <cellStyle name="Total 6 6 7" xfId="9793" xr:uid="{00000000-0005-0000-0000-0000017C0000}"/>
    <cellStyle name="Total 6 6 7 2" xfId="24750" xr:uid="{00000000-0005-0000-0000-0000027C0000}"/>
    <cellStyle name="Total 6 7" xfId="2163" xr:uid="{00000000-0005-0000-0000-0000037C0000}"/>
    <cellStyle name="Total 6 7 2" xfId="4009" xr:uid="{00000000-0005-0000-0000-0000047C0000}"/>
    <cellStyle name="Total 6 7 2 2" xfId="8056" xr:uid="{00000000-0005-0000-0000-0000057C0000}"/>
    <cellStyle name="Total 6 7 2 2 2" xfId="17472" xr:uid="{00000000-0005-0000-0000-0000067C0000}"/>
    <cellStyle name="Total 6 7 2 2 2 2" xfId="32304" xr:uid="{00000000-0005-0000-0000-0000077C0000}"/>
    <cellStyle name="Total 6 7 2 2 3" xfId="19232" xr:uid="{00000000-0005-0000-0000-0000087C0000}"/>
    <cellStyle name="Total 6 7 2 3" xfId="14341" xr:uid="{00000000-0005-0000-0000-0000097C0000}"/>
    <cellStyle name="Total 6 7 2 3 2" xfId="29173" xr:uid="{00000000-0005-0000-0000-00000A7C0000}"/>
    <cellStyle name="Total 6 7 2 4" xfId="11089" xr:uid="{00000000-0005-0000-0000-00000B7C0000}"/>
    <cellStyle name="Total 6 7 2 4 2" xfId="25921" xr:uid="{00000000-0005-0000-0000-00000C7C0000}"/>
    <cellStyle name="Total 6 7 3" xfId="5131" xr:uid="{00000000-0005-0000-0000-00000D7C0000}"/>
    <cellStyle name="Total 6 7 3 2" xfId="9170" xr:uid="{00000000-0005-0000-0000-00000E7C0000}"/>
    <cellStyle name="Total 6 7 3 2 2" xfId="18093" xr:uid="{00000000-0005-0000-0000-00000F7C0000}"/>
    <cellStyle name="Total 6 7 3 2 2 2" xfId="32925" xr:uid="{00000000-0005-0000-0000-0000107C0000}"/>
    <cellStyle name="Total 6 7 3 2 3" xfId="19644" xr:uid="{00000000-0005-0000-0000-0000117C0000}"/>
    <cellStyle name="Total 6 7 3 3" xfId="15449" xr:uid="{00000000-0005-0000-0000-0000127C0000}"/>
    <cellStyle name="Total 6 7 3 3 2" xfId="30281" xr:uid="{00000000-0005-0000-0000-0000137C0000}"/>
    <cellStyle name="Total 6 7 3 4" xfId="11690" xr:uid="{00000000-0005-0000-0000-0000147C0000}"/>
    <cellStyle name="Total 6 7 3 4 2" xfId="26522" xr:uid="{00000000-0005-0000-0000-0000157C0000}"/>
    <cellStyle name="Total 6 7 4" xfId="4161" xr:uid="{00000000-0005-0000-0000-0000167C0000}"/>
    <cellStyle name="Total 6 7 4 2" xfId="8202" xr:uid="{00000000-0005-0000-0000-0000177C0000}"/>
    <cellStyle name="Total 6 7 4 2 2" xfId="17549" xr:uid="{00000000-0005-0000-0000-0000187C0000}"/>
    <cellStyle name="Total 6 7 4 2 2 2" xfId="32381" xr:uid="{00000000-0005-0000-0000-0000197C0000}"/>
    <cellStyle name="Total 6 7 4 2 3" xfId="19287" xr:uid="{00000000-0005-0000-0000-00001A7C0000}"/>
    <cellStyle name="Total 6 7 4 3" xfId="14493" xr:uid="{00000000-0005-0000-0000-00001B7C0000}"/>
    <cellStyle name="Total 6 7 4 3 2" xfId="29325" xr:uid="{00000000-0005-0000-0000-00001C7C0000}"/>
    <cellStyle name="Total 6 7 4 4" xfId="11169" xr:uid="{00000000-0005-0000-0000-00001D7C0000}"/>
    <cellStyle name="Total 6 7 4 4 2" xfId="26001" xr:uid="{00000000-0005-0000-0000-00001E7C0000}"/>
    <cellStyle name="Total 6 7 5" xfId="6277" xr:uid="{00000000-0005-0000-0000-00001F7C0000}"/>
    <cellStyle name="Total 6 7 5 2" xfId="16461" xr:uid="{00000000-0005-0000-0000-0000207C0000}"/>
    <cellStyle name="Total 6 7 5 2 2" xfId="31293" xr:uid="{00000000-0005-0000-0000-0000217C0000}"/>
    <cellStyle name="Total 6 7 5 3" xfId="18580" xr:uid="{00000000-0005-0000-0000-0000227C0000}"/>
    <cellStyle name="Total 6 7 6" xfId="12531" xr:uid="{00000000-0005-0000-0000-0000237C0000}"/>
    <cellStyle name="Total 6 7 6 2" xfId="27363" xr:uid="{00000000-0005-0000-0000-0000247C0000}"/>
    <cellStyle name="Total 6 7 7" xfId="10113" xr:uid="{00000000-0005-0000-0000-0000257C0000}"/>
    <cellStyle name="Total 6 7 7 2" xfId="24945" xr:uid="{00000000-0005-0000-0000-0000267C0000}"/>
    <cellStyle name="Total 6 8" xfId="3267" xr:uid="{00000000-0005-0000-0000-0000277C0000}"/>
    <cellStyle name="Total 6 8 2" xfId="7331" xr:uid="{00000000-0005-0000-0000-0000287C0000}"/>
    <cellStyle name="Total 6 8 2 2" xfId="17076" xr:uid="{00000000-0005-0000-0000-0000297C0000}"/>
    <cellStyle name="Total 6 8 2 2 2" xfId="31908" xr:uid="{00000000-0005-0000-0000-00002A7C0000}"/>
    <cellStyle name="Total 6 8 2 3" xfId="18977" xr:uid="{00000000-0005-0000-0000-00002B7C0000}"/>
    <cellStyle name="Total 6 8 3" xfId="13604" xr:uid="{00000000-0005-0000-0000-00002C7C0000}"/>
    <cellStyle name="Total 6 8 3 2" xfId="28436" xr:uid="{00000000-0005-0000-0000-00002D7C0000}"/>
    <cellStyle name="Total 6 8 4" xfId="10704" xr:uid="{00000000-0005-0000-0000-00002E7C0000}"/>
    <cellStyle name="Total 6 8 4 2" xfId="25536" xr:uid="{00000000-0005-0000-0000-00002F7C0000}"/>
    <cellStyle name="Total 6 9" xfId="3189" xr:uid="{00000000-0005-0000-0000-0000307C0000}"/>
    <cellStyle name="Total 6 9 2" xfId="7253" xr:uid="{00000000-0005-0000-0000-0000317C0000}"/>
    <cellStyle name="Total 6 9 2 2" xfId="17023" xr:uid="{00000000-0005-0000-0000-0000327C0000}"/>
    <cellStyle name="Total 6 9 2 2 2" xfId="31855" xr:uid="{00000000-0005-0000-0000-0000337C0000}"/>
    <cellStyle name="Total 6 9 2 3" xfId="18956" xr:uid="{00000000-0005-0000-0000-0000347C0000}"/>
    <cellStyle name="Total 6 9 3" xfId="13527" xr:uid="{00000000-0005-0000-0000-0000357C0000}"/>
    <cellStyle name="Total 6 9 3 2" xfId="28359" xr:uid="{00000000-0005-0000-0000-0000367C0000}"/>
    <cellStyle name="Total 6 9 4" xfId="10670" xr:uid="{00000000-0005-0000-0000-0000377C0000}"/>
    <cellStyle name="Total 6 9 4 2" xfId="25502" xr:uid="{00000000-0005-0000-0000-0000387C0000}"/>
    <cellStyle name="Total 7" xfId="1279" xr:uid="{00000000-0005-0000-0000-0000397C0000}"/>
    <cellStyle name="Total 7 10" xfId="2346" xr:uid="{00000000-0005-0000-0000-00003A7C0000}"/>
    <cellStyle name="Total 7 10 2" xfId="6458" xr:uid="{00000000-0005-0000-0000-00003B7C0000}"/>
    <cellStyle name="Total 7 10 2 2" xfId="16550" xr:uid="{00000000-0005-0000-0000-00003C7C0000}"/>
    <cellStyle name="Total 7 10 2 2 2" xfId="31382" xr:uid="{00000000-0005-0000-0000-00003D7C0000}"/>
    <cellStyle name="Total 7 10 2 3" xfId="18638" xr:uid="{00000000-0005-0000-0000-00003E7C0000}"/>
    <cellStyle name="Total 7 10 3" xfId="12686" xr:uid="{00000000-0005-0000-0000-00003F7C0000}"/>
    <cellStyle name="Total 7 10 3 2" xfId="27518" xr:uid="{00000000-0005-0000-0000-0000407C0000}"/>
    <cellStyle name="Total 7 10 4" xfId="10201" xr:uid="{00000000-0005-0000-0000-0000417C0000}"/>
    <cellStyle name="Total 7 10 4 2" xfId="25033" xr:uid="{00000000-0005-0000-0000-0000427C0000}"/>
    <cellStyle name="Total 7 11" xfId="5308" xr:uid="{00000000-0005-0000-0000-0000437C0000}"/>
    <cellStyle name="Total 7 11 2" xfId="9316" xr:uid="{00000000-0005-0000-0000-0000447C0000}"/>
    <cellStyle name="Total 7 11 2 2" xfId="18183" xr:uid="{00000000-0005-0000-0000-0000457C0000}"/>
    <cellStyle name="Total 7 11 2 2 2" xfId="33015" xr:uid="{00000000-0005-0000-0000-0000467C0000}"/>
    <cellStyle name="Total 7 11 2 3" xfId="19702" xr:uid="{00000000-0005-0000-0000-0000477C0000}"/>
    <cellStyle name="Total 7 11 3" xfId="15624" xr:uid="{00000000-0005-0000-0000-0000487C0000}"/>
    <cellStyle name="Total 7 11 3 2" xfId="30456" xr:uid="{00000000-0005-0000-0000-0000497C0000}"/>
    <cellStyle name="Total 7 12" xfId="5466" xr:uid="{00000000-0005-0000-0000-00004A7C0000}"/>
    <cellStyle name="Total 7 12 2" xfId="15702" xr:uid="{00000000-0005-0000-0000-00004B7C0000}"/>
    <cellStyle name="Total 7 12 2 2" xfId="30534" xr:uid="{00000000-0005-0000-0000-00004C7C0000}"/>
    <cellStyle name="Total 7 12 3" xfId="18279" xr:uid="{00000000-0005-0000-0000-00004D7C0000}"/>
    <cellStyle name="Total 7 13" xfId="9325" xr:uid="{00000000-0005-0000-0000-00004E7C0000}"/>
    <cellStyle name="Total 7 13 2" xfId="24631" xr:uid="{00000000-0005-0000-0000-00004F7C0000}"/>
    <cellStyle name="Total 7 14" xfId="5314" xr:uid="{00000000-0005-0000-0000-0000507C0000}"/>
    <cellStyle name="Total 7 14 2" xfId="18188" xr:uid="{00000000-0005-0000-0000-0000517C0000}"/>
    <cellStyle name="Total 7 2" xfId="1378" xr:uid="{00000000-0005-0000-0000-0000527C0000}"/>
    <cellStyle name="Total 7 2 2" xfId="1882" xr:uid="{00000000-0005-0000-0000-0000537C0000}"/>
    <cellStyle name="Total 7 2 2 2" xfId="4338" xr:uid="{00000000-0005-0000-0000-0000547C0000}"/>
    <cellStyle name="Total 7 2 2 2 2" xfId="8377" xr:uid="{00000000-0005-0000-0000-0000557C0000}"/>
    <cellStyle name="Total 7 2 2 2 2 2" xfId="17652" xr:uid="{00000000-0005-0000-0000-0000567C0000}"/>
    <cellStyle name="Total 7 2 2 2 2 2 2" xfId="32484" xr:uid="{00000000-0005-0000-0000-0000577C0000}"/>
    <cellStyle name="Total 7 2 2 2 2 3" xfId="19351" xr:uid="{00000000-0005-0000-0000-0000587C0000}"/>
    <cellStyle name="Total 7 2 2 2 3" xfId="14669" xr:uid="{00000000-0005-0000-0000-0000597C0000}"/>
    <cellStyle name="Total 7 2 2 2 3 2" xfId="29501" xr:uid="{00000000-0005-0000-0000-00005A7C0000}"/>
    <cellStyle name="Total 7 2 2 2 4" xfId="11262" xr:uid="{00000000-0005-0000-0000-00005B7C0000}"/>
    <cellStyle name="Total 7 2 2 2 4 2" xfId="26094" xr:uid="{00000000-0005-0000-0000-00005C7C0000}"/>
    <cellStyle name="Total 7 2 2 3" xfId="4860" xr:uid="{00000000-0005-0000-0000-00005D7C0000}"/>
    <cellStyle name="Total 7 2 2 3 2" xfId="8899" xr:uid="{00000000-0005-0000-0000-00005E7C0000}"/>
    <cellStyle name="Total 7 2 2 3 2 2" xfId="17940" xr:uid="{00000000-0005-0000-0000-00005F7C0000}"/>
    <cellStyle name="Total 7 2 2 3 2 2 2" xfId="32772" xr:uid="{00000000-0005-0000-0000-0000607C0000}"/>
    <cellStyle name="Total 7 2 2 3 2 3" xfId="19542" xr:uid="{00000000-0005-0000-0000-0000617C0000}"/>
    <cellStyle name="Total 7 2 2 3 3" xfId="15184" xr:uid="{00000000-0005-0000-0000-0000627C0000}"/>
    <cellStyle name="Total 7 2 2 3 3 2" xfId="30016" xr:uid="{00000000-0005-0000-0000-0000637C0000}"/>
    <cellStyle name="Total 7 2 2 3 4" xfId="11543" xr:uid="{00000000-0005-0000-0000-0000647C0000}"/>
    <cellStyle name="Total 7 2 2 3 4 2" xfId="26375" xr:uid="{00000000-0005-0000-0000-0000657C0000}"/>
    <cellStyle name="Total 7 2 2 4" xfId="2850" xr:uid="{00000000-0005-0000-0000-0000667C0000}"/>
    <cellStyle name="Total 7 2 2 4 2" xfId="6941" xr:uid="{00000000-0005-0000-0000-0000677C0000}"/>
    <cellStyle name="Total 7 2 2 4 2 2" xfId="16834" xr:uid="{00000000-0005-0000-0000-0000687C0000}"/>
    <cellStyle name="Total 7 2 2 4 2 2 2" xfId="31666" xr:uid="{00000000-0005-0000-0000-0000697C0000}"/>
    <cellStyle name="Total 7 2 2 4 2 3" xfId="18833" xr:uid="{00000000-0005-0000-0000-00006A7C0000}"/>
    <cellStyle name="Total 7 2 2 4 3" xfId="13188" xr:uid="{00000000-0005-0000-0000-00006B7C0000}"/>
    <cellStyle name="Total 7 2 2 4 3 2" xfId="28020" xr:uid="{00000000-0005-0000-0000-00006C7C0000}"/>
    <cellStyle name="Total 7 2 2 4 4" xfId="10487" xr:uid="{00000000-0005-0000-0000-00006D7C0000}"/>
    <cellStyle name="Total 7 2 2 4 4 2" xfId="25319" xr:uid="{00000000-0005-0000-0000-00006E7C0000}"/>
    <cellStyle name="Total 7 2 2 5" xfId="6014" xr:uid="{00000000-0005-0000-0000-00006F7C0000}"/>
    <cellStyle name="Total 7 2 2 5 2" xfId="16206" xr:uid="{00000000-0005-0000-0000-0000707C0000}"/>
    <cellStyle name="Total 7 2 2 5 2 2" xfId="31038" xr:uid="{00000000-0005-0000-0000-0000717C0000}"/>
    <cellStyle name="Total 7 2 2 5 3" xfId="18475" xr:uid="{00000000-0005-0000-0000-0000727C0000}"/>
    <cellStyle name="Total 7 2 2 6" xfId="12276" xr:uid="{00000000-0005-0000-0000-0000737C0000}"/>
    <cellStyle name="Total 7 2 2 6 2" xfId="27108" xr:uid="{00000000-0005-0000-0000-0000747C0000}"/>
    <cellStyle name="Total 7 2 2 7" xfId="9872" xr:uid="{00000000-0005-0000-0000-0000757C0000}"/>
    <cellStyle name="Total 7 2 2 7 2" xfId="24798" xr:uid="{00000000-0005-0000-0000-0000767C0000}"/>
    <cellStyle name="Total 7 2 3" xfId="4016" xr:uid="{00000000-0005-0000-0000-0000777C0000}"/>
    <cellStyle name="Total 7 2 3 2" xfId="8063" xr:uid="{00000000-0005-0000-0000-0000787C0000}"/>
    <cellStyle name="Total 7 2 3 2 2" xfId="17476" xr:uid="{00000000-0005-0000-0000-0000797C0000}"/>
    <cellStyle name="Total 7 2 3 2 2 2" xfId="32308" xr:uid="{00000000-0005-0000-0000-00007A7C0000}"/>
    <cellStyle name="Total 7 2 3 2 3" xfId="19234" xr:uid="{00000000-0005-0000-0000-00007B7C0000}"/>
    <cellStyle name="Total 7 2 3 3" xfId="14348" xr:uid="{00000000-0005-0000-0000-00007C7C0000}"/>
    <cellStyle name="Total 7 2 3 3 2" xfId="29180" xr:uid="{00000000-0005-0000-0000-00007D7C0000}"/>
    <cellStyle name="Total 7 2 3 4" xfId="11092" xr:uid="{00000000-0005-0000-0000-00007E7C0000}"/>
    <cellStyle name="Total 7 2 3 4 2" xfId="25924" xr:uid="{00000000-0005-0000-0000-00007F7C0000}"/>
    <cellStyle name="Total 7 2 4" xfId="4440" xr:uid="{00000000-0005-0000-0000-0000807C0000}"/>
    <cellStyle name="Total 7 2 4 2" xfId="8479" xr:uid="{00000000-0005-0000-0000-0000817C0000}"/>
    <cellStyle name="Total 7 2 4 2 2" xfId="17700" xr:uid="{00000000-0005-0000-0000-0000827C0000}"/>
    <cellStyle name="Total 7 2 4 2 2 2" xfId="32532" xr:uid="{00000000-0005-0000-0000-0000837C0000}"/>
    <cellStyle name="Total 7 2 4 2 3" xfId="19382" xr:uid="{00000000-0005-0000-0000-0000847C0000}"/>
    <cellStyle name="Total 7 2 4 3" xfId="14769" xr:uid="{00000000-0005-0000-0000-0000857C0000}"/>
    <cellStyle name="Total 7 2 4 3 2" xfId="29601" xr:uid="{00000000-0005-0000-0000-0000867C0000}"/>
    <cellStyle name="Total 7 2 4 4" xfId="11308" xr:uid="{00000000-0005-0000-0000-0000877C0000}"/>
    <cellStyle name="Total 7 2 4 4 2" xfId="26140" xr:uid="{00000000-0005-0000-0000-0000887C0000}"/>
    <cellStyle name="Total 7 2 5" xfId="2430" xr:uid="{00000000-0005-0000-0000-0000897C0000}"/>
    <cellStyle name="Total 7 2 5 2" xfId="6542" xr:uid="{00000000-0005-0000-0000-00008A7C0000}"/>
    <cellStyle name="Total 7 2 5 2 2" xfId="16598" xr:uid="{00000000-0005-0000-0000-00008B7C0000}"/>
    <cellStyle name="Total 7 2 5 2 2 2" xfId="31430" xr:uid="{00000000-0005-0000-0000-00008C7C0000}"/>
    <cellStyle name="Total 7 2 5 2 3" xfId="18670" xr:uid="{00000000-0005-0000-0000-00008D7C0000}"/>
    <cellStyle name="Total 7 2 5 3" xfId="12769" xr:uid="{00000000-0005-0000-0000-00008E7C0000}"/>
    <cellStyle name="Total 7 2 5 3 2" xfId="27601" xr:uid="{00000000-0005-0000-0000-00008F7C0000}"/>
    <cellStyle name="Total 7 2 5 4" xfId="10248" xr:uid="{00000000-0005-0000-0000-0000907C0000}"/>
    <cellStyle name="Total 7 2 5 4 2" xfId="25080" xr:uid="{00000000-0005-0000-0000-0000917C0000}"/>
    <cellStyle name="Total 7 2 6" xfId="5555" xr:uid="{00000000-0005-0000-0000-0000927C0000}"/>
    <cellStyle name="Total 7 2 6 2" xfId="15790" xr:uid="{00000000-0005-0000-0000-0000937C0000}"/>
    <cellStyle name="Total 7 2 6 2 2" xfId="30622" xr:uid="{00000000-0005-0000-0000-0000947C0000}"/>
    <cellStyle name="Total 7 2 6 3" xfId="18312" xr:uid="{00000000-0005-0000-0000-0000957C0000}"/>
    <cellStyle name="Total 7 2 7" xfId="11805" xr:uid="{00000000-0005-0000-0000-0000967C0000}"/>
    <cellStyle name="Total 7 2 7 2" xfId="26637" xr:uid="{00000000-0005-0000-0000-0000977C0000}"/>
    <cellStyle name="Total 7 2 8" xfId="9476" xr:uid="{00000000-0005-0000-0000-0000987C0000}"/>
    <cellStyle name="Total 7 2 8 2" xfId="19780" xr:uid="{00000000-0005-0000-0000-0000997C0000}"/>
    <cellStyle name="Total 7 3" xfId="1550" xr:uid="{00000000-0005-0000-0000-00009A7C0000}"/>
    <cellStyle name="Total 7 3 2" xfId="2047" xr:uid="{00000000-0005-0000-0000-00009B7C0000}"/>
    <cellStyle name="Total 7 3 2 2" xfId="3334" xr:uid="{00000000-0005-0000-0000-00009C7C0000}"/>
    <cellStyle name="Total 7 3 2 2 2" xfId="7397" xr:uid="{00000000-0005-0000-0000-00009D7C0000}"/>
    <cellStyle name="Total 7 3 2 2 2 2" xfId="17130" xr:uid="{00000000-0005-0000-0000-00009E7C0000}"/>
    <cellStyle name="Total 7 3 2 2 2 2 2" xfId="31962" xr:uid="{00000000-0005-0000-0000-00009F7C0000}"/>
    <cellStyle name="Total 7 3 2 2 2 3" xfId="19004" xr:uid="{00000000-0005-0000-0000-0000A07C0000}"/>
    <cellStyle name="Total 7 3 2 2 3" xfId="13671" xr:uid="{00000000-0005-0000-0000-0000A17C0000}"/>
    <cellStyle name="Total 7 3 2 2 3 2" xfId="28503" xr:uid="{00000000-0005-0000-0000-0000A27C0000}"/>
    <cellStyle name="Total 7 3 2 2 4" xfId="10751" xr:uid="{00000000-0005-0000-0000-0000A37C0000}"/>
    <cellStyle name="Total 7 3 2 2 4 2" xfId="25583" xr:uid="{00000000-0005-0000-0000-0000A47C0000}"/>
    <cellStyle name="Total 7 3 2 3" xfId="5015" xr:uid="{00000000-0005-0000-0000-0000A57C0000}"/>
    <cellStyle name="Total 7 3 2 3 2" xfId="9054" xr:uid="{00000000-0005-0000-0000-0000A67C0000}"/>
    <cellStyle name="Total 7 3 2 3 2 2" xfId="17992" xr:uid="{00000000-0005-0000-0000-0000A77C0000}"/>
    <cellStyle name="Total 7 3 2 3 2 2 2" xfId="32824" xr:uid="{00000000-0005-0000-0000-0000A87C0000}"/>
    <cellStyle name="Total 7 3 2 3 2 3" xfId="19574" xr:uid="{00000000-0005-0000-0000-0000A97C0000}"/>
    <cellStyle name="Total 7 3 2 3 3" xfId="15337" xr:uid="{00000000-0005-0000-0000-0000AA7C0000}"/>
    <cellStyle name="Total 7 3 2 3 3 2" xfId="30169" xr:uid="{00000000-0005-0000-0000-0000AB7C0000}"/>
    <cellStyle name="Total 7 3 2 3 4" xfId="11593" xr:uid="{00000000-0005-0000-0000-0000AC7C0000}"/>
    <cellStyle name="Total 7 3 2 3 4 2" xfId="26425" xr:uid="{00000000-0005-0000-0000-0000AD7C0000}"/>
    <cellStyle name="Total 7 3 2 4" xfId="3005" xr:uid="{00000000-0005-0000-0000-0000AE7C0000}"/>
    <cellStyle name="Total 7 3 2 4 2" xfId="7085" xr:uid="{00000000-0005-0000-0000-0000AF7C0000}"/>
    <cellStyle name="Total 7 3 2 4 2 2" xfId="16884" xr:uid="{00000000-0005-0000-0000-0000B07C0000}"/>
    <cellStyle name="Total 7 3 2 4 2 2 2" xfId="31716" xr:uid="{00000000-0005-0000-0000-0000B17C0000}"/>
    <cellStyle name="Total 7 3 2 4 2 3" xfId="18866" xr:uid="{00000000-0005-0000-0000-0000B27C0000}"/>
    <cellStyle name="Total 7 3 2 4 3" xfId="13343" xr:uid="{00000000-0005-0000-0000-0000B37C0000}"/>
    <cellStyle name="Total 7 3 2 4 3 2" xfId="28175" xr:uid="{00000000-0005-0000-0000-0000B47C0000}"/>
    <cellStyle name="Total 7 3 2 4 4" xfId="10539" xr:uid="{00000000-0005-0000-0000-0000B57C0000}"/>
    <cellStyle name="Total 7 3 2 4 4 2" xfId="25371" xr:uid="{00000000-0005-0000-0000-0000B67C0000}"/>
    <cellStyle name="Total 7 3 2 5" xfId="6177" xr:uid="{00000000-0005-0000-0000-0000B77C0000}"/>
    <cellStyle name="Total 7 3 2 5 2" xfId="16364" xr:uid="{00000000-0005-0000-0000-0000B87C0000}"/>
    <cellStyle name="Total 7 3 2 5 2 2" xfId="31196" xr:uid="{00000000-0005-0000-0000-0000B97C0000}"/>
    <cellStyle name="Total 7 3 2 5 3" xfId="18507" xr:uid="{00000000-0005-0000-0000-0000BA7C0000}"/>
    <cellStyle name="Total 7 3 2 6" xfId="12434" xr:uid="{00000000-0005-0000-0000-0000BB7C0000}"/>
    <cellStyle name="Total 7 3 2 6 2" xfId="27266" xr:uid="{00000000-0005-0000-0000-0000BC7C0000}"/>
    <cellStyle name="Total 7 3 2 7" xfId="10016" xr:uid="{00000000-0005-0000-0000-0000BD7C0000}"/>
    <cellStyle name="Total 7 3 2 7 2" xfId="24848" xr:uid="{00000000-0005-0000-0000-0000BE7C0000}"/>
    <cellStyle name="Total 7 3 3" xfId="3327" xr:uid="{00000000-0005-0000-0000-0000BF7C0000}"/>
    <cellStyle name="Total 7 3 3 2" xfId="7390" xr:uid="{00000000-0005-0000-0000-0000C07C0000}"/>
    <cellStyle name="Total 7 3 3 2 2" xfId="17123" xr:uid="{00000000-0005-0000-0000-0000C17C0000}"/>
    <cellStyle name="Total 7 3 3 2 2 2" xfId="31955" xr:uid="{00000000-0005-0000-0000-0000C27C0000}"/>
    <cellStyle name="Total 7 3 3 2 3" xfId="19000" xr:uid="{00000000-0005-0000-0000-0000C37C0000}"/>
    <cellStyle name="Total 7 3 3 3" xfId="13664" xr:uid="{00000000-0005-0000-0000-0000C47C0000}"/>
    <cellStyle name="Total 7 3 3 3 2" xfId="28496" xr:uid="{00000000-0005-0000-0000-0000C57C0000}"/>
    <cellStyle name="Total 7 3 3 4" xfId="10744" xr:uid="{00000000-0005-0000-0000-0000C67C0000}"/>
    <cellStyle name="Total 7 3 3 4 2" xfId="25576" xr:uid="{00000000-0005-0000-0000-0000C77C0000}"/>
    <cellStyle name="Total 7 3 4" xfId="4595" xr:uid="{00000000-0005-0000-0000-0000C87C0000}"/>
    <cellStyle name="Total 7 3 4 2" xfId="8634" xr:uid="{00000000-0005-0000-0000-0000C97C0000}"/>
    <cellStyle name="Total 7 3 4 2 2" xfId="17752" xr:uid="{00000000-0005-0000-0000-0000CA7C0000}"/>
    <cellStyle name="Total 7 3 4 2 2 2" xfId="32584" xr:uid="{00000000-0005-0000-0000-0000CB7C0000}"/>
    <cellStyle name="Total 7 3 4 2 3" xfId="19414" xr:uid="{00000000-0005-0000-0000-0000CC7C0000}"/>
    <cellStyle name="Total 7 3 4 3" xfId="14922" xr:uid="{00000000-0005-0000-0000-0000CD7C0000}"/>
    <cellStyle name="Total 7 3 4 3 2" xfId="29754" xr:uid="{00000000-0005-0000-0000-0000CE7C0000}"/>
    <cellStyle name="Total 7 3 4 4" xfId="11358" xr:uid="{00000000-0005-0000-0000-0000CF7C0000}"/>
    <cellStyle name="Total 7 3 4 4 2" xfId="26190" xr:uid="{00000000-0005-0000-0000-0000D07C0000}"/>
    <cellStyle name="Total 7 3 5" xfId="2585" xr:uid="{00000000-0005-0000-0000-0000D17C0000}"/>
    <cellStyle name="Total 7 3 5 2" xfId="6691" xr:uid="{00000000-0005-0000-0000-0000D27C0000}"/>
    <cellStyle name="Total 7 3 5 2 2" xfId="16649" xr:uid="{00000000-0005-0000-0000-0000D37C0000}"/>
    <cellStyle name="Total 7 3 5 2 2 2" xfId="31481" xr:uid="{00000000-0005-0000-0000-0000D47C0000}"/>
    <cellStyle name="Total 7 3 5 2 3" xfId="18702" xr:uid="{00000000-0005-0000-0000-0000D57C0000}"/>
    <cellStyle name="Total 7 3 5 3" xfId="12923" xr:uid="{00000000-0005-0000-0000-0000D67C0000}"/>
    <cellStyle name="Total 7 3 5 3 2" xfId="27755" xr:uid="{00000000-0005-0000-0000-0000D77C0000}"/>
    <cellStyle name="Total 7 3 5 4" xfId="10299" xr:uid="{00000000-0005-0000-0000-0000D87C0000}"/>
    <cellStyle name="Total 7 3 5 4 2" xfId="25131" xr:uid="{00000000-0005-0000-0000-0000D97C0000}"/>
    <cellStyle name="Total 7 3 6" xfId="5708" xr:uid="{00000000-0005-0000-0000-0000DA7C0000}"/>
    <cellStyle name="Total 7 3 6 2" xfId="15943" xr:uid="{00000000-0005-0000-0000-0000DB7C0000}"/>
    <cellStyle name="Total 7 3 6 2 2" xfId="30775" xr:uid="{00000000-0005-0000-0000-0000DC7C0000}"/>
    <cellStyle name="Total 7 3 6 3" xfId="18344" xr:uid="{00000000-0005-0000-0000-0000DD7C0000}"/>
    <cellStyle name="Total 7 3 7" xfId="11963" xr:uid="{00000000-0005-0000-0000-0000DE7C0000}"/>
    <cellStyle name="Total 7 3 7 2" xfId="26795" xr:uid="{00000000-0005-0000-0000-0000DF7C0000}"/>
    <cellStyle name="Total 7 3 8" xfId="9621" xr:uid="{00000000-0005-0000-0000-0000E07C0000}"/>
    <cellStyle name="Total 7 3 8 2" xfId="19923" xr:uid="{00000000-0005-0000-0000-0000E17C0000}"/>
    <cellStyle name="Total 7 4" xfId="1603" xr:uid="{00000000-0005-0000-0000-0000E27C0000}"/>
    <cellStyle name="Total 7 4 2" xfId="2100" xr:uid="{00000000-0005-0000-0000-0000E37C0000}"/>
    <cellStyle name="Total 7 4 2 2" xfId="3962" xr:uid="{00000000-0005-0000-0000-0000E47C0000}"/>
    <cellStyle name="Total 7 4 2 2 2" xfId="8012" xr:uid="{00000000-0005-0000-0000-0000E57C0000}"/>
    <cellStyle name="Total 7 4 2 2 2 2" xfId="17452" xr:uid="{00000000-0005-0000-0000-0000E67C0000}"/>
    <cellStyle name="Total 7 4 2 2 2 2 2" xfId="32284" xr:uid="{00000000-0005-0000-0000-0000E77C0000}"/>
    <cellStyle name="Total 7 4 2 2 2 3" xfId="19217" xr:uid="{00000000-0005-0000-0000-0000E87C0000}"/>
    <cellStyle name="Total 7 4 2 2 3" xfId="14295" xr:uid="{00000000-0005-0000-0000-0000E97C0000}"/>
    <cellStyle name="Total 7 4 2 2 3 2" xfId="29127" xr:uid="{00000000-0005-0000-0000-0000EA7C0000}"/>
    <cellStyle name="Total 7 4 2 2 4" xfId="11067" xr:uid="{00000000-0005-0000-0000-0000EB7C0000}"/>
    <cellStyle name="Total 7 4 2 2 4 2" xfId="25899" xr:uid="{00000000-0005-0000-0000-0000EC7C0000}"/>
    <cellStyle name="Total 7 4 2 3" xfId="5068" xr:uid="{00000000-0005-0000-0000-0000ED7C0000}"/>
    <cellStyle name="Total 7 4 2 3 2" xfId="9107" xr:uid="{00000000-0005-0000-0000-0000EE7C0000}"/>
    <cellStyle name="Total 7 4 2 3 2 2" xfId="18040" xr:uid="{00000000-0005-0000-0000-0000EF7C0000}"/>
    <cellStyle name="Total 7 4 2 3 2 2 2" xfId="32872" xr:uid="{00000000-0005-0000-0000-0000F07C0000}"/>
    <cellStyle name="Total 7 4 2 3 2 3" xfId="19606" xr:uid="{00000000-0005-0000-0000-0000F17C0000}"/>
    <cellStyle name="Total 7 4 2 3 3" xfId="15389" xr:uid="{00000000-0005-0000-0000-0000F27C0000}"/>
    <cellStyle name="Total 7 4 2 3 3 2" xfId="30221" xr:uid="{00000000-0005-0000-0000-0000F37C0000}"/>
    <cellStyle name="Total 7 4 2 3 4" xfId="11640" xr:uid="{00000000-0005-0000-0000-0000F47C0000}"/>
    <cellStyle name="Total 7 4 2 3 4 2" xfId="26472" xr:uid="{00000000-0005-0000-0000-0000F57C0000}"/>
    <cellStyle name="Total 7 4 2 4" xfId="3058" xr:uid="{00000000-0005-0000-0000-0000F67C0000}"/>
    <cellStyle name="Total 7 4 2 4 2" xfId="7133" xr:uid="{00000000-0005-0000-0000-0000F77C0000}"/>
    <cellStyle name="Total 7 4 2 4 2 2" xfId="16931" xr:uid="{00000000-0005-0000-0000-0000F87C0000}"/>
    <cellStyle name="Total 7 4 2 4 2 2 2" xfId="31763" xr:uid="{00000000-0005-0000-0000-0000F97C0000}"/>
    <cellStyle name="Total 7 4 2 4 2 3" xfId="18899" xr:uid="{00000000-0005-0000-0000-0000FA7C0000}"/>
    <cellStyle name="Total 7 4 2 4 3" xfId="13396" xr:uid="{00000000-0005-0000-0000-0000FB7C0000}"/>
    <cellStyle name="Total 7 4 2 4 3 2" xfId="28228" xr:uid="{00000000-0005-0000-0000-0000FC7C0000}"/>
    <cellStyle name="Total 7 4 2 4 4" xfId="10587" xr:uid="{00000000-0005-0000-0000-0000FD7C0000}"/>
    <cellStyle name="Total 7 4 2 4 4 2" xfId="25419" xr:uid="{00000000-0005-0000-0000-0000FE7C0000}"/>
    <cellStyle name="Total 7 4 2 5" xfId="6225" xr:uid="{00000000-0005-0000-0000-0000FF7C0000}"/>
    <cellStyle name="Total 7 4 2 5 2" xfId="16411" xr:uid="{00000000-0005-0000-0000-0000007D0000}"/>
    <cellStyle name="Total 7 4 2 5 2 2" xfId="31243" xr:uid="{00000000-0005-0000-0000-0000017D0000}"/>
    <cellStyle name="Total 7 4 2 5 3" xfId="18540" xr:uid="{00000000-0005-0000-0000-0000027D0000}"/>
    <cellStyle name="Total 7 4 2 6" xfId="12481" xr:uid="{00000000-0005-0000-0000-0000037D0000}"/>
    <cellStyle name="Total 7 4 2 6 2" xfId="27313" xr:uid="{00000000-0005-0000-0000-0000047D0000}"/>
    <cellStyle name="Total 7 4 2 7" xfId="10063" xr:uid="{00000000-0005-0000-0000-0000057D0000}"/>
    <cellStyle name="Total 7 4 2 7 2" xfId="24895" xr:uid="{00000000-0005-0000-0000-0000067D0000}"/>
    <cellStyle name="Total 7 4 3" xfId="3546" xr:uid="{00000000-0005-0000-0000-0000077D0000}"/>
    <cellStyle name="Total 7 4 3 2" xfId="7608" xr:uid="{00000000-0005-0000-0000-0000087D0000}"/>
    <cellStyle name="Total 7 4 3 2 2" xfId="17250" xr:uid="{00000000-0005-0000-0000-0000097D0000}"/>
    <cellStyle name="Total 7 4 3 2 2 2" xfId="32082" xr:uid="{00000000-0005-0000-0000-00000A7D0000}"/>
    <cellStyle name="Total 7 4 3 2 3" xfId="19074" xr:uid="{00000000-0005-0000-0000-00000B7D0000}"/>
    <cellStyle name="Total 7 4 3 3" xfId="13882" xr:uid="{00000000-0005-0000-0000-00000C7D0000}"/>
    <cellStyle name="Total 7 4 3 3 2" xfId="28714" xr:uid="{00000000-0005-0000-0000-00000D7D0000}"/>
    <cellStyle name="Total 7 4 3 4" xfId="10867" xr:uid="{00000000-0005-0000-0000-00000E7D0000}"/>
    <cellStyle name="Total 7 4 3 4 2" xfId="25699" xr:uid="{00000000-0005-0000-0000-00000F7D0000}"/>
    <cellStyle name="Total 7 4 4" xfId="4648" xr:uid="{00000000-0005-0000-0000-0000107D0000}"/>
    <cellStyle name="Total 7 4 4 2" xfId="8687" xr:uid="{00000000-0005-0000-0000-0000117D0000}"/>
    <cellStyle name="Total 7 4 4 2 2" xfId="17800" xr:uid="{00000000-0005-0000-0000-0000127D0000}"/>
    <cellStyle name="Total 7 4 4 2 2 2" xfId="32632" xr:uid="{00000000-0005-0000-0000-0000137D0000}"/>
    <cellStyle name="Total 7 4 4 2 3" xfId="19446" xr:uid="{00000000-0005-0000-0000-0000147D0000}"/>
    <cellStyle name="Total 7 4 4 3" xfId="14974" xr:uid="{00000000-0005-0000-0000-0000157D0000}"/>
    <cellStyle name="Total 7 4 4 3 2" xfId="29806" xr:uid="{00000000-0005-0000-0000-0000167D0000}"/>
    <cellStyle name="Total 7 4 4 4" xfId="11405" xr:uid="{00000000-0005-0000-0000-0000177D0000}"/>
    <cellStyle name="Total 7 4 4 4 2" xfId="26237" xr:uid="{00000000-0005-0000-0000-0000187D0000}"/>
    <cellStyle name="Total 7 4 5" xfId="2638" xr:uid="{00000000-0005-0000-0000-0000197D0000}"/>
    <cellStyle name="Total 7 4 5 2" xfId="6739" xr:uid="{00000000-0005-0000-0000-00001A7D0000}"/>
    <cellStyle name="Total 7 4 5 2 2" xfId="16696" xr:uid="{00000000-0005-0000-0000-00001B7D0000}"/>
    <cellStyle name="Total 7 4 5 2 2 2" xfId="31528" xr:uid="{00000000-0005-0000-0000-00001C7D0000}"/>
    <cellStyle name="Total 7 4 5 2 3" xfId="18735" xr:uid="{00000000-0005-0000-0000-00001D7D0000}"/>
    <cellStyle name="Total 7 4 5 3" xfId="12976" xr:uid="{00000000-0005-0000-0000-00001E7D0000}"/>
    <cellStyle name="Total 7 4 5 3 2" xfId="27808" xr:uid="{00000000-0005-0000-0000-00001F7D0000}"/>
    <cellStyle name="Total 7 4 5 4" xfId="10347" xr:uid="{00000000-0005-0000-0000-0000207D0000}"/>
    <cellStyle name="Total 7 4 5 4 2" xfId="25179" xr:uid="{00000000-0005-0000-0000-0000217D0000}"/>
    <cellStyle name="Total 7 4 6" xfId="5755" xr:uid="{00000000-0005-0000-0000-0000227D0000}"/>
    <cellStyle name="Total 7 4 6 2" xfId="15990" xr:uid="{00000000-0005-0000-0000-0000237D0000}"/>
    <cellStyle name="Total 7 4 6 2 2" xfId="30822" xr:uid="{00000000-0005-0000-0000-0000247D0000}"/>
    <cellStyle name="Total 7 4 6 3" xfId="18376" xr:uid="{00000000-0005-0000-0000-0000257D0000}"/>
    <cellStyle name="Total 7 4 7" xfId="12010" xr:uid="{00000000-0005-0000-0000-0000267D0000}"/>
    <cellStyle name="Total 7 4 7 2" xfId="26842" xr:uid="{00000000-0005-0000-0000-0000277D0000}"/>
    <cellStyle name="Total 7 4 8" xfId="9669" xr:uid="{00000000-0005-0000-0000-0000287D0000}"/>
    <cellStyle name="Total 7 4 8 2" xfId="19970" xr:uid="{00000000-0005-0000-0000-0000297D0000}"/>
    <cellStyle name="Total 7 5" xfId="1653" xr:uid="{00000000-0005-0000-0000-00002A7D0000}"/>
    <cellStyle name="Total 7 5 2" xfId="2150" xr:uid="{00000000-0005-0000-0000-00002B7D0000}"/>
    <cellStyle name="Total 7 5 2 2" xfId="3495" xr:uid="{00000000-0005-0000-0000-00002C7D0000}"/>
    <cellStyle name="Total 7 5 2 2 2" xfId="7557" xr:uid="{00000000-0005-0000-0000-00002D7D0000}"/>
    <cellStyle name="Total 7 5 2 2 2 2" xfId="17218" xr:uid="{00000000-0005-0000-0000-00002E7D0000}"/>
    <cellStyle name="Total 7 5 2 2 2 2 2" xfId="32050" xr:uid="{00000000-0005-0000-0000-00002F7D0000}"/>
    <cellStyle name="Total 7 5 2 2 2 3" xfId="19054" xr:uid="{00000000-0005-0000-0000-0000307D0000}"/>
    <cellStyle name="Total 7 5 2 2 3" xfId="13832" xr:uid="{00000000-0005-0000-0000-0000317D0000}"/>
    <cellStyle name="Total 7 5 2 2 3 2" xfId="28664" xr:uid="{00000000-0005-0000-0000-0000327D0000}"/>
    <cellStyle name="Total 7 5 2 2 4" xfId="10836" xr:uid="{00000000-0005-0000-0000-0000337D0000}"/>
    <cellStyle name="Total 7 5 2 2 4 2" xfId="25668" xr:uid="{00000000-0005-0000-0000-0000347D0000}"/>
    <cellStyle name="Total 7 5 2 3" xfId="5118" xr:uid="{00000000-0005-0000-0000-0000357D0000}"/>
    <cellStyle name="Total 7 5 2 3 2" xfId="9157" xr:uid="{00000000-0005-0000-0000-0000367D0000}"/>
    <cellStyle name="Total 7 5 2 3 2 2" xfId="18085" xr:uid="{00000000-0005-0000-0000-0000377D0000}"/>
    <cellStyle name="Total 7 5 2 3 2 2 2" xfId="32917" xr:uid="{00000000-0005-0000-0000-0000387D0000}"/>
    <cellStyle name="Total 7 5 2 3 2 3" xfId="19638" xr:uid="{00000000-0005-0000-0000-0000397D0000}"/>
    <cellStyle name="Total 7 5 2 3 3" xfId="15438" xr:uid="{00000000-0005-0000-0000-00003A7D0000}"/>
    <cellStyle name="Total 7 5 2 3 3 2" xfId="30270" xr:uid="{00000000-0005-0000-0000-00003B7D0000}"/>
    <cellStyle name="Total 7 5 2 3 4" xfId="11684" xr:uid="{00000000-0005-0000-0000-00003C7D0000}"/>
    <cellStyle name="Total 7 5 2 3 4 2" xfId="26516" xr:uid="{00000000-0005-0000-0000-00003D7D0000}"/>
    <cellStyle name="Total 7 5 2 4" xfId="3108" xr:uid="{00000000-0005-0000-0000-00003E7D0000}"/>
    <cellStyle name="Total 7 5 2 4 2" xfId="7178" xr:uid="{00000000-0005-0000-0000-00003F7D0000}"/>
    <cellStyle name="Total 7 5 2 4 2 2" xfId="16975" xr:uid="{00000000-0005-0000-0000-0000407D0000}"/>
    <cellStyle name="Total 7 5 2 4 2 2 2" xfId="31807" xr:uid="{00000000-0005-0000-0000-0000417D0000}"/>
    <cellStyle name="Total 7 5 2 4 2 3" xfId="18932" xr:uid="{00000000-0005-0000-0000-0000427D0000}"/>
    <cellStyle name="Total 7 5 2 4 3" xfId="13446" xr:uid="{00000000-0005-0000-0000-0000437D0000}"/>
    <cellStyle name="Total 7 5 2 4 3 2" xfId="28278" xr:uid="{00000000-0005-0000-0000-0000447D0000}"/>
    <cellStyle name="Total 7 5 2 4 4" xfId="10632" xr:uid="{00000000-0005-0000-0000-0000457D0000}"/>
    <cellStyle name="Total 7 5 2 4 4 2" xfId="25464" xr:uid="{00000000-0005-0000-0000-0000467D0000}"/>
    <cellStyle name="Total 7 5 2 5" xfId="6270" xr:uid="{00000000-0005-0000-0000-0000477D0000}"/>
    <cellStyle name="Total 7 5 2 5 2" xfId="16455" xr:uid="{00000000-0005-0000-0000-0000487D0000}"/>
    <cellStyle name="Total 7 5 2 5 2 2" xfId="31287" xr:uid="{00000000-0005-0000-0000-0000497D0000}"/>
    <cellStyle name="Total 7 5 2 5 3" xfId="18573" xr:uid="{00000000-0005-0000-0000-00004A7D0000}"/>
    <cellStyle name="Total 7 5 2 6" xfId="12525" xr:uid="{00000000-0005-0000-0000-00004B7D0000}"/>
    <cellStyle name="Total 7 5 2 6 2" xfId="27357" xr:uid="{00000000-0005-0000-0000-00004C7D0000}"/>
    <cellStyle name="Total 7 5 2 7" xfId="10107" xr:uid="{00000000-0005-0000-0000-00004D7D0000}"/>
    <cellStyle name="Total 7 5 2 7 2" xfId="24939" xr:uid="{00000000-0005-0000-0000-00004E7D0000}"/>
    <cellStyle name="Total 7 5 3" xfId="3588" xr:uid="{00000000-0005-0000-0000-00004F7D0000}"/>
    <cellStyle name="Total 7 5 3 2" xfId="7650" xr:uid="{00000000-0005-0000-0000-0000507D0000}"/>
    <cellStyle name="Total 7 5 3 2 2" xfId="17274" xr:uid="{00000000-0005-0000-0000-0000517D0000}"/>
    <cellStyle name="Total 7 5 3 2 2 2" xfId="32106" xr:uid="{00000000-0005-0000-0000-0000527D0000}"/>
    <cellStyle name="Total 7 5 3 2 3" xfId="19094" xr:uid="{00000000-0005-0000-0000-0000537D0000}"/>
    <cellStyle name="Total 7 5 3 3" xfId="13924" xr:uid="{00000000-0005-0000-0000-0000547D0000}"/>
    <cellStyle name="Total 7 5 3 3 2" xfId="28756" xr:uid="{00000000-0005-0000-0000-0000557D0000}"/>
    <cellStyle name="Total 7 5 3 4" xfId="10891" xr:uid="{00000000-0005-0000-0000-0000567D0000}"/>
    <cellStyle name="Total 7 5 3 4 2" xfId="25723" xr:uid="{00000000-0005-0000-0000-0000577D0000}"/>
    <cellStyle name="Total 7 5 4" xfId="4698" xr:uid="{00000000-0005-0000-0000-0000587D0000}"/>
    <cellStyle name="Total 7 5 4 2" xfId="8737" xr:uid="{00000000-0005-0000-0000-0000597D0000}"/>
    <cellStyle name="Total 7 5 4 2 2" xfId="17845" xr:uid="{00000000-0005-0000-0000-00005A7D0000}"/>
    <cellStyle name="Total 7 5 4 2 2 2" xfId="32677" xr:uid="{00000000-0005-0000-0000-00005B7D0000}"/>
    <cellStyle name="Total 7 5 4 2 3" xfId="19478" xr:uid="{00000000-0005-0000-0000-00005C7D0000}"/>
    <cellStyle name="Total 7 5 4 3" xfId="15023" xr:uid="{00000000-0005-0000-0000-00005D7D0000}"/>
    <cellStyle name="Total 7 5 4 3 2" xfId="29855" xr:uid="{00000000-0005-0000-0000-00005E7D0000}"/>
    <cellStyle name="Total 7 5 4 4" xfId="11449" xr:uid="{00000000-0005-0000-0000-00005F7D0000}"/>
    <cellStyle name="Total 7 5 4 4 2" xfId="26281" xr:uid="{00000000-0005-0000-0000-0000607D0000}"/>
    <cellStyle name="Total 7 5 5" xfId="2688" xr:uid="{00000000-0005-0000-0000-0000617D0000}"/>
    <cellStyle name="Total 7 5 5 2" xfId="6784" xr:uid="{00000000-0005-0000-0000-0000627D0000}"/>
    <cellStyle name="Total 7 5 5 2 2" xfId="16740" xr:uid="{00000000-0005-0000-0000-0000637D0000}"/>
    <cellStyle name="Total 7 5 5 2 2 2" xfId="31572" xr:uid="{00000000-0005-0000-0000-0000647D0000}"/>
    <cellStyle name="Total 7 5 5 2 3" xfId="18768" xr:uid="{00000000-0005-0000-0000-0000657D0000}"/>
    <cellStyle name="Total 7 5 5 3" xfId="13026" xr:uid="{00000000-0005-0000-0000-0000667D0000}"/>
    <cellStyle name="Total 7 5 5 3 2" xfId="27858" xr:uid="{00000000-0005-0000-0000-0000677D0000}"/>
    <cellStyle name="Total 7 5 5 4" xfId="10392" xr:uid="{00000000-0005-0000-0000-0000687D0000}"/>
    <cellStyle name="Total 7 5 5 4 2" xfId="25224" xr:uid="{00000000-0005-0000-0000-0000697D0000}"/>
    <cellStyle name="Total 7 5 6" xfId="5800" xr:uid="{00000000-0005-0000-0000-00006A7D0000}"/>
    <cellStyle name="Total 7 5 6 2" xfId="16034" xr:uid="{00000000-0005-0000-0000-00006B7D0000}"/>
    <cellStyle name="Total 7 5 6 2 2" xfId="30866" xr:uid="{00000000-0005-0000-0000-00006C7D0000}"/>
    <cellStyle name="Total 7 5 6 3" xfId="18409" xr:uid="{00000000-0005-0000-0000-00006D7D0000}"/>
    <cellStyle name="Total 7 5 7" xfId="12054" xr:uid="{00000000-0005-0000-0000-00006E7D0000}"/>
    <cellStyle name="Total 7 5 7 2" xfId="26886" xr:uid="{00000000-0005-0000-0000-00006F7D0000}"/>
    <cellStyle name="Total 7 5 8" xfId="9714" xr:uid="{00000000-0005-0000-0000-0000707D0000}"/>
    <cellStyle name="Total 7 5 8 2" xfId="20014" xr:uid="{00000000-0005-0000-0000-0000717D0000}"/>
    <cellStyle name="Total 7 6" xfId="1804" xr:uid="{00000000-0005-0000-0000-0000727D0000}"/>
    <cellStyle name="Total 7 6 2" xfId="3648" xr:uid="{00000000-0005-0000-0000-0000737D0000}"/>
    <cellStyle name="Total 7 6 2 2" xfId="7707" xr:uid="{00000000-0005-0000-0000-0000747D0000}"/>
    <cellStyle name="Total 7 6 2 2 2" xfId="17299" xr:uid="{00000000-0005-0000-0000-0000757D0000}"/>
    <cellStyle name="Total 7 6 2 2 2 2" xfId="32131" xr:uid="{00000000-0005-0000-0000-0000767D0000}"/>
    <cellStyle name="Total 7 6 2 2 3" xfId="19111" xr:uid="{00000000-0005-0000-0000-0000777D0000}"/>
    <cellStyle name="Total 7 6 2 3" xfId="13983" xr:uid="{00000000-0005-0000-0000-0000787D0000}"/>
    <cellStyle name="Total 7 6 2 3 2" xfId="28815" xr:uid="{00000000-0005-0000-0000-0000797D0000}"/>
    <cellStyle name="Total 7 6 2 4" xfId="10915" xr:uid="{00000000-0005-0000-0000-00007A7D0000}"/>
    <cellStyle name="Total 7 6 2 4 2" xfId="25747" xr:uid="{00000000-0005-0000-0000-00007B7D0000}"/>
    <cellStyle name="Total 7 6 3" xfId="4782" xr:uid="{00000000-0005-0000-0000-00007C7D0000}"/>
    <cellStyle name="Total 7 6 3 2" xfId="8821" xr:uid="{00000000-0005-0000-0000-00007D7D0000}"/>
    <cellStyle name="Total 7 6 3 2 2" xfId="17893" xr:uid="{00000000-0005-0000-0000-00007E7D0000}"/>
    <cellStyle name="Total 7 6 3 2 2 2" xfId="32725" xr:uid="{00000000-0005-0000-0000-00007F7D0000}"/>
    <cellStyle name="Total 7 6 3 2 3" xfId="19510" xr:uid="{00000000-0005-0000-0000-0000807D0000}"/>
    <cellStyle name="Total 7 6 3 3" xfId="15106" xr:uid="{00000000-0005-0000-0000-0000817D0000}"/>
    <cellStyle name="Total 7 6 3 3 2" xfId="29938" xr:uid="{00000000-0005-0000-0000-0000827D0000}"/>
    <cellStyle name="Total 7 6 3 4" xfId="11496" xr:uid="{00000000-0005-0000-0000-0000837D0000}"/>
    <cellStyle name="Total 7 6 3 4 2" xfId="26328" xr:uid="{00000000-0005-0000-0000-0000847D0000}"/>
    <cellStyle name="Total 7 6 4" xfId="2772" xr:uid="{00000000-0005-0000-0000-0000857D0000}"/>
    <cellStyle name="Total 7 6 4 2" xfId="6863" xr:uid="{00000000-0005-0000-0000-0000867D0000}"/>
    <cellStyle name="Total 7 6 4 2 2" xfId="16787" xr:uid="{00000000-0005-0000-0000-0000877D0000}"/>
    <cellStyle name="Total 7 6 4 2 2 2" xfId="31619" xr:uid="{00000000-0005-0000-0000-0000887D0000}"/>
    <cellStyle name="Total 7 6 4 2 3" xfId="18801" xr:uid="{00000000-0005-0000-0000-0000897D0000}"/>
    <cellStyle name="Total 7 6 4 3" xfId="13110" xr:uid="{00000000-0005-0000-0000-00008A7D0000}"/>
    <cellStyle name="Total 7 6 4 3 2" xfId="27942" xr:uid="{00000000-0005-0000-0000-00008B7D0000}"/>
    <cellStyle name="Total 7 6 4 4" xfId="10440" xr:uid="{00000000-0005-0000-0000-00008C7D0000}"/>
    <cellStyle name="Total 7 6 4 4 2" xfId="25272" xr:uid="{00000000-0005-0000-0000-00008D7D0000}"/>
    <cellStyle name="Total 7 6 5" xfId="5936" xr:uid="{00000000-0005-0000-0000-00008E7D0000}"/>
    <cellStyle name="Total 7 6 5 2" xfId="16128" xr:uid="{00000000-0005-0000-0000-00008F7D0000}"/>
    <cellStyle name="Total 7 6 5 2 2" xfId="30960" xr:uid="{00000000-0005-0000-0000-0000907D0000}"/>
    <cellStyle name="Total 7 6 5 3" xfId="18443" xr:uid="{00000000-0005-0000-0000-0000917D0000}"/>
    <cellStyle name="Total 7 6 6" xfId="12198" xr:uid="{00000000-0005-0000-0000-0000927D0000}"/>
    <cellStyle name="Total 7 6 6 2" xfId="27030" xr:uid="{00000000-0005-0000-0000-0000937D0000}"/>
    <cellStyle name="Total 7 6 7" xfId="9794" xr:uid="{00000000-0005-0000-0000-0000947D0000}"/>
    <cellStyle name="Total 7 6 7 2" xfId="24751" xr:uid="{00000000-0005-0000-0000-0000957D0000}"/>
    <cellStyle name="Total 7 7" xfId="2162" xr:uid="{00000000-0005-0000-0000-0000967D0000}"/>
    <cellStyle name="Total 7 7 2" xfId="4107" xr:uid="{00000000-0005-0000-0000-0000977D0000}"/>
    <cellStyle name="Total 7 7 2 2" xfId="8153" xr:uid="{00000000-0005-0000-0000-0000987D0000}"/>
    <cellStyle name="Total 7 7 2 2 2" xfId="17523" xr:uid="{00000000-0005-0000-0000-0000997D0000}"/>
    <cellStyle name="Total 7 7 2 2 2 2" xfId="32355" xr:uid="{00000000-0005-0000-0000-00009A7D0000}"/>
    <cellStyle name="Total 7 7 2 2 3" xfId="19269" xr:uid="{00000000-0005-0000-0000-00009B7D0000}"/>
    <cellStyle name="Total 7 7 2 3" xfId="14439" xr:uid="{00000000-0005-0000-0000-00009C7D0000}"/>
    <cellStyle name="Total 7 7 2 3 2" xfId="29271" xr:uid="{00000000-0005-0000-0000-00009D7D0000}"/>
    <cellStyle name="Total 7 7 2 4" xfId="11140" xr:uid="{00000000-0005-0000-0000-00009E7D0000}"/>
    <cellStyle name="Total 7 7 2 4 2" xfId="25972" xr:uid="{00000000-0005-0000-0000-00009F7D0000}"/>
    <cellStyle name="Total 7 7 3" xfId="5130" xr:uid="{00000000-0005-0000-0000-0000A07D0000}"/>
    <cellStyle name="Total 7 7 3 2" xfId="9169" xr:uid="{00000000-0005-0000-0000-0000A17D0000}"/>
    <cellStyle name="Total 7 7 3 2 2" xfId="18092" xr:uid="{00000000-0005-0000-0000-0000A27D0000}"/>
    <cellStyle name="Total 7 7 3 2 2 2" xfId="32924" xr:uid="{00000000-0005-0000-0000-0000A37D0000}"/>
    <cellStyle name="Total 7 7 3 2 3" xfId="19643" xr:uid="{00000000-0005-0000-0000-0000A47D0000}"/>
    <cellStyle name="Total 7 7 3 3" xfId="15448" xr:uid="{00000000-0005-0000-0000-0000A57D0000}"/>
    <cellStyle name="Total 7 7 3 3 2" xfId="30280" xr:uid="{00000000-0005-0000-0000-0000A67D0000}"/>
    <cellStyle name="Total 7 7 3 4" xfId="11689" xr:uid="{00000000-0005-0000-0000-0000A77D0000}"/>
    <cellStyle name="Total 7 7 3 4 2" xfId="26521" xr:uid="{00000000-0005-0000-0000-0000A87D0000}"/>
    <cellStyle name="Total 7 7 4" xfId="4160" xr:uid="{00000000-0005-0000-0000-0000A97D0000}"/>
    <cellStyle name="Total 7 7 4 2" xfId="8201" xr:uid="{00000000-0005-0000-0000-0000AA7D0000}"/>
    <cellStyle name="Total 7 7 4 2 2" xfId="17548" xr:uid="{00000000-0005-0000-0000-0000AB7D0000}"/>
    <cellStyle name="Total 7 7 4 2 2 2" xfId="32380" xr:uid="{00000000-0005-0000-0000-0000AC7D0000}"/>
    <cellStyle name="Total 7 7 4 2 3" xfId="19286" xr:uid="{00000000-0005-0000-0000-0000AD7D0000}"/>
    <cellStyle name="Total 7 7 4 3" xfId="14492" xr:uid="{00000000-0005-0000-0000-0000AE7D0000}"/>
    <cellStyle name="Total 7 7 4 3 2" xfId="29324" xr:uid="{00000000-0005-0000-0000-0000AF7D0000}"/>
    <cellStyle name="Total 7 7 4 4" xfId="11168" xr:uid="{00000000-0005-0000-0000-0000B07D0000}"/>
    <cellStyle name="Total 7 7 4 4 2" xfId="26000" xr:uid="{00000000-0005-0000-0000-0000B17D0000}"/>
    <cellStyle name="Total 7 7 5" xfId="6276" xr:uid="{00000000-0005-0000-0000-0000B27D0000}"/>
    <cellStyle name="Total 7 7 5 2" xfId="16460" xr:uid="{00000000-0005-0000-0000-0000B37D0000}"/>
    <cellStyle name="Total 7 7 5 2 2" xfId="31292" xr:uid="{00000000-0005-0000-0000-0000B47D0000}"/>
    <cellStyle name="Total 7 7 5 3" xfId="18579" xr:uid="{00000000-0005-0000-0000-0000B57D0000}"/>
    <cellStyle name="Total 7 7 6" xfId="12530" xr:uid="{00000000-0005-0000-0000-0000B67D0000}"/>
    <cellStyle name="Total 7 7 6 2" xfId="27362" xr:uid="{00000000-0005-0000-0000-0000B77D0000}"/>
    <cellStyle name="Total 7 7 7" xfId="10112" xr:uid="{00000000-0005-0000-0000-0000B87D0000}"/>
    <cellStyle name="Total 7 7 7 2" xfId="24944" xr:uid="{00000000-0005-0000-0000-0000B97D0000}"/>
    <cellStyle name="Total 7 8" xfId="3197" xr:uid="{00000000-0005-0000-0000-0000BA7D0000}"/>
    <cellStyle name="Total 7 8 2" xfId="7261" xr:uid="{00000000-0005-0000-0000-0000BB7D0000}"/>
    <cellStyle name="Total 7 8 2 2" xfId="17030" xr:uid="{00000000-0005-0000-0000-0000BC7D0000}"/>
    <cellStyle name="Total 7 8 2 2 2" xfId="31862" xr:uid="{00000000-0005-0000-0000-0000BD7D0000}"/>
    <cellStyle name="Total 7 8 2 3" xfId="18959" xr:uid="{00000000-0005-0000-0000-0000BE7D0000}"/>
    <cellStyle name="Total 7 8 3" xfId="13535" xr:uid="{00000000-0005-0000-0000-0000BF7D0000}"/>
    <cellStyle name="Total 7 8 3 2" xfId="28367" xr:uid="{00000000-0005-0000-0000-0000C07D0000}"/>
    <cellStyle name="Total 7 8 4" xfId="10674" xr:uid="{00000000-0005-0000-0000-0000C17D0000}"/>
    <cellStyle name="Total 7 8 4 2" xfId="25506" xr:uid="{00000000-0005-0000-0000-0000C27D0000}"/>
    <cellStyle name="Total 7 9" xfId="3348" xr:uid="{00000000-0005-0000-0000-0000C37D0000}"/>
    <cellStyle name="Total 7 9 2" xfId="7411" xr:uid="{00000000-0005-0000-0000-0000C47D0000}"/>
    <cellStyle name="Total 7 9 2 2" xfId="17136" xr:uid="{00000000-0005-0000-0000-0000C57D0000}"/>
    <cellStyle name="Total 7 9 2 2 2" xfId="31968" xr:uid="{00000000-0005-0000-0000-0000C67D0000}"/>
    <cellStyle name="Total 7 9 2 3" xfId="19006" xr:uid="{00000000-0005-0000-0000-0000C77D0000}"/>
    <cellStyle name="Total 7 9 3" xfId="13685" xr:uid="{00000000-0005-0000-0000-0000C87D0000}"/>
    <cellStyle name="Total 7 9 3 2" xfId="28517" xr:uid="{00000000-0005-0000-0000-0000C97D0000}"/>
    <cellStyle name="Total 7 9 4" xfId="10755" xr:uid="{00000000-0005-0000-0000-0000CA7D0000}"/>
    <cellStyle name="Total 7 9 4 2" xfId="25587" xr:uid="{00000000-0005-0000-0000-0000CB7D0000}"/>
    <cellStyle name="Total 8" xfId="1280" xr:uid="{00000000-0005-0000-0000-0000CC7D0000}"/>
    <cellStyle name="Total 8 10" xfId="2347" xr:uid="{00000000-0005-0000-0000-0000CD7D0000}"/>
    <cellStyle name="Total 8 10 2" xfId="6459" xr:uid="{00000000-0005-0000-0000-0000CE7D0000}"/>
    <cellStyle name="Total 8 10 2 2" xfId="16551" xr:uid="{00000000-0005-0000-0000-0000CF7D0000}"/>
    <cellStyle name="Total 8 10 2 2 2" xfId="31383" xr:uid="{00000000-0005-0000-0000-0000D07D0000}"/>
    <cellStyle name="Total 8 10 2 3" xfId="18639" xr:uid="{00000000-0005-0000-0000-0000D17D0000}"/>
    <cellStyle name="Total 8 10 3" xfId="12687" xr:uid="{00000000-0005-0000-0000-0000D27D0000}"/>
    <cellStyle name="Total 8 10 3 2" xfId="27519" xr:uid="{00000000-0005-0000-0000-0000D37D0000}"/>
    <cellStyle name="Total 8 10 4" xfId="10202" xr:uid="{00000000-0005-0000-0000-0000D47D0000}"/>
    <cellStyle name="Total 8 10 4 2" xfId="25034" xr:uid="{00000000-0005-0000-0000-0000D57D0000}"/>
    <cellStyle name="Total 8 11" xfId="5309" xr:uid="{00000000-0005-0000-0000-0000D67D0000}"/>
    <cellStyle name="Total 8 11 2" xfId="9317" xr:uid="{00000000-0005-0000-0000-0000D77D0000}"/>
    <cellStyle name="Total 8 11 2 2" xfId="18184" xr:uid="{00000000-0005-0000-0000-0000D87D0000}"/>
    <cellStyle name="Total 8 11 2 2 2" xfId="33016" xr:uid="{00000000-0005-0000-0000-0000D97D0000}"/>
    <cellStyle name="Total 8 11 2 3" xfId="19703" xr:uid="{00000000-0005-0000-0000-0000DA7D0000}"/>
    <cellStyle name="Total 8 11 3" xfId="15625" xr:uid="{00000000-0005-0000-0000-0000DB7D0000}"/>
    <cellStyle name="Total 8 11 3 2" xfId="30457" xr:uid="{00000000-0005-0000-0000-0000DC7D0000}"/>
    <cellStyle name="Total 8 12" xfId="5467" xr:uid="{00000000-0005-0000-0000-0000DD7D0000}"/>
    <cellStyle name="Total 8 12 2" xfId="15703" xr:uid="{00000000-0005-0000-0000-0000DE7D0000}"/>
    <cellStyle name="Total 8 12 2 2" xfId="30535" xr:uid="{00000000-0005-0000-0000-0000DF7D0000}"/>
    <cellStyle name="Total 8 12 3" xfId="18280" xr:uid="{00000000-0005-0000-0000-0000E07D0000}"/>
    <cellStyle name="Total 8 13" xfId="9324" xr:uid="{00000000-0005-0000-0000-0000E17D0000}"/>
    <cellStyle name="Total 8 13 2" xfId="24630" xr:uid="{00000000-0005-0000-0000-0000E27D0000}"/>
    <cellStyle name="Total 8 14" xfId="5313" xr:uid="{00000000-0005-0000-0000-0000E37D0000}"/>
    <cellStyle name="Total 8 14 2" xfId="18187" xr:uid="{00000000-0005-0000-0000-0000E47D0000}"/>
    <cellStyle name="Total 8 2" xfId="1379" xr:uid="{00000000-0005-0000-0000-0000E57D0000}"/>
    <cellStyle name="Total 8 2 2" xfId="1883" xr:uid="{00000000-0005-0000-0000-0000E67D0000}"/>
    <cellStyle name="Total 8 2 2 2" xfId="4336" xr:uid="{00000000-0005-0000-0000-0000E77D0000}"/>
    <cellStyle name="Total 8 2 2 2 2" xfId="8375" xr:uid="{00000000-0005-0000-0000-0000E87D0000}"/>
    <cellStyle name="Total 8 2 2 2 2 2" xfId="17651" xr:uid="{00000000-0005-0000-0000-0000E97D0000}"/>
    <cellStyle name="Total 8 2 2 2 2 2 2" xfId="32483" xr:uid="{00000000-0005-0000-0000-0000EA7D0000}"/>
    <cellStyle name="Total 8 2 2 2 2 3" xfId="19350" xr:uid="{00000000-0005-0000-0000-0000EB7D0000}"/>
    <cellStyle name="Total 8 2 2 2 3" xfId="14667" xr:uid="{00000000-0005-0000-0000-0000EC7D0000}"/>
    <cellStyle name="Total 8 2 2 2 3 2" xfId="29499" xr:uid="{00000000-0005-0000-0000-0000ED7D0000}"/>
    <cellStyle name="Total 8 2 2 2 4" xfId="11261" xr:uid="{00000000-0005-0000-0000-0000EE7D0000}"/>
    <cellStyle name="Total 8 2 2 2 4 2" xfId="26093" xr:uid="{00000000-0005-0000-0000-0000EF7D0000}"/>
    <cellStyle name="Total 8 2 2 3" xfId="4861" xr:uid="{00000000-0005-0000-0000-0000F07D0000}"/>
    <cellStyle name="Total 8 2 2 3 2" xfId="8900" xr:uid="{00000000-0005-0000-0000-0000F17D0000}"/>
    <cellStyle name="Total 8 2 2 3 2 2" xfId="17941" xr:uid="{00000000-0005-0000-0000-0000F27D0000}"/>
    <cellStyle name="Total 8 2 2 3 2 2 2" xfId="32773" xr:uid="{00000000-0005-0000-0000-0000F37D0000}"/>
    <cellStyle name="Total 8 2 2 3 2 3" xfId="19543" xr:uid="{00000000-0005-0000-0000-0000F47D0000}"/>
    <cellStyle name="Total 8 2 2 3 3" xfId="15185" xr:uid="{00000000-0005-0000-0000-0000F57D0000}"/>
    <cellStyle name="Total 8 2 2 3 3 2" xfId="30017" xr:uid="{00000000-0005-0000-0000-0000F67D0000}"/>
    <cellStyle name="Total 8 2 2 3 4" xfId="11544" xr:uid="{00000000-0005-0000-0000-0000F77D0000}"/>
    <cellStyle name="Total 8 2 2 3 4 2" xfId="26376" xr:uid="{00000000-0005-0000-0000-0000F87D0000}"/>
    <cellStyle name="Total 8 2 2 4" xfId="2851" xr:uid="{00000000-0005-0000-0000-0000F97D0000}"/>
    <cellStyle name="Total 8 2 2 4 2" xfId="6942" xr:uid="{00000000-0005-0000-0000-0000FA7D0000}"/>
    <cellStyle name="Total 8 2 2 4 2 2" xfId="16835" xr:uid="{00000000-0005-0000-0000-0000FB7D0000}"/>
    <cellStyle name="Total 8 2 2 4 2 2 2" xfId="31667" xr:uid="{00000000-0005-0000-0000-0000FC7D0000}"/>
    <cellStyle name="Total 8 2 2 4 2 3" xfId="18834" xr:uid="{00000000-0005-0000-0000-0000FD7D0000}"/>
    <cellStyle name="Total 8 2 2 4 3" xfId="13189" xr:uid="{00000000-0005-0000-0000-0000FE7D0000}"/>
    <cellStyle name="Total 8 2 2 4 3 2" xfId="28021" xr:uid="{00000000-0005-0000-0000-0000FF7D0000}"/>
    <cellStyle name="Total 8 2 2 4 4" xfId="10488" xr:uid="{00000000-0005-0000-0000-0000007E0000}"/>
    <cellStyle name="Total 8 2 2 4 4 2" xfId="25320" xr:uid="{00000000-0005-0000-0000-0000017E0000}"/>
    <cellStyle name="Total 8 2 2 5" xfId="6015" xr:uid="{00000000-0005-0000-0000-0000027E0000}"/>
    <cellStyle name="Total 8 2 2 5 2" xfId="16207" xr:uid="{00000000-0005-0000-0000-0000037E0000}"/>
    <cellStyle name="Total 8 2 2 5 2 2" xfId="31039" xr:uid="{00000000-0005-0000-0000-0000047E0000}"/>
    <cellStyle name="Total 8 2 2 5 3" xfId="18476" xr:uid="{00000000-0005-0000-0000-0000057E0000}"/>
    <cellStyle name="Total 8 2 2 6" xfId="12277" xr:uid="{00000000-0005-0000-0000-0000067E0000}"/>
    <cellStyle name="Total 8 2 2 6 2" xfId="27109" xr:uid="{00000000-0005-0000-0000-0000077E0000}"/>
    <cellStyle name="Total 8 2 2 7" xfId="9873" xr:uid="{00000000-0005-0000-0000-0000087E0000}"/>
    <cellStyle name="Total 8 2 2 7 2" xfId="24799" xr:uid="{00000000-0005-0000-0000-0000097E0000}"/>
    <cellStyle name="Total 8 2 3" xfId="4131" xr:uid="{00000000-0005-0000-0000-00000A7E0000}"/>
    <cellStyle name="Total 8 2 3 2" xfId="8175" xr:uid="{00000000-0005-0000-0000-00000B7E0000}"/>
    <cellStyle name="Total 8 2 3 2 2" xfId="17534" xr:uid="{00000000-0005-0000-0000-00000C7E0000}"/>
    <cellStyle name="Total 8 2 3 2 2 2" xfId="32366" xr:uid="{00000000-0005-0000-0000-00000D7E0000}"/>
    <cellStyle name="Total 8 2 3 2 3" xfId="19278" xr:uid="{00000000-0005-0000-0000-00000E7E0000}"/>
    <cellStyle name="Total 8 2 3 3" xfId="14463" xr:uid="{00000000-0005-0000-0000-00000F7E0000}"/>
    <cellStyle name="Total 8 2 3 3 2" xfId="29295" xr:uid="{00000000-0005-0000-0000-0000107E0000}"/>
    <cellStyle name="Total 8 2 3 4" xfId="11152" xr:uid="{00000000-0005-0000-0000-0000117E0000}"/>
    <cellStyle name="Total 8 2 3 4 2" xfId="25984" xr:uid="{00000000-0005-0000-0000-0000127E0000}"/>
    <cellStyle name="Total 8 2 4" xfId="4441" xr:uid="{00000000-0005-0000-0000-0000137E0000}"/>
    <cellStyle name="Total 8 2 4 2" xfId="8480" xr:uid="{00000000-0005-0000-0000-0000147E0000}"/>
    <cellStyle name="Total 8 2 4 2 2" xfId="17701" xr:uid="{00000000-0005-0000-0000-0000157E0000}"/>
    <cellStyle name="Total 8 2 4 2 2 2" xfId="32533" xr:uid="{00000000-0005-0000-0000-0000167E0000}"/>
    <cellStyle name="Total 8 2 4 2 3" xfId="19383" xr:uid="{00000000-0005-0000-0000-0000177E0000}"/>
    <cellStyle name="Total 8 2 4 3" xfId="14770" xr:uid="{00000000-0005-0000-0000-0000187E0000}"/>
    <cellStyle name="Total 8 2 4 3 2" xfId="29602" xr:uid="{00000000-0005-0000-0000-0000197E0000}"/>
    <cellStyle name="Total 8 2 4 4" xfId="11309" xr:uid="{00000000-0005-0000-0000-00001A7E0000}"/>
    <cellStyle name="Total 8 2 4 4 2" xfId="26141" xr:uid="{00000000-0005-0000-0000-00001B7E0000}"/>
    <cellStyle name="Total 8 2 5" xfId="2431" xr:uid="{00000000-0005-0000-0000-00001C7E0000}"/>
    <cellStyle name="Total 8 2 5 2" xfId="6543" xr:uid="{00000000-0005-0000-0000-00001D7E0000}"/>
    <cellStyle name="Total 8 2 5 2 2" xfId="16599" xr:uid="{00000000-0005-0000-0000-00001E7E0000}"/>
    <cellStyle name="Total 8 2 5 2 2 2" xfId="31431" xr:uid="{00000000-0005-0000-0000-00001F7E0000}"/>
    <cellStyle name="Total 8 2 5 2 3" xfId="18671" xr:uid="{00000000-0005-0000-0000-0000207E0000}"/>
    <cellStyle name="Total 8 2 5 3" xfId="12770" xr:uid="{00000000-0005-0000-0000-0000217E0000}"/>
    <cellStyle name="Total 8 2 5 3 2" xfId="27602" xr:uid="{00000000-0005-0000-0000-0000227E0000}"/>
    <cellStyle name="Total 8 2 5 4" xfId="10249" xr:uid="{00000000-0005-0000-0000-0000237E0000}"/>
    <cellStyle name="Total 8 2 5 4 2" xfId="25081" xr:uid="{00000000-0005-0000-0000-0000247E0000}"/>
    <cellStyle name="Total 8 2 6" xfId="5556" xr:uid="{00000000-0005-0000-0000-0000257E0000}"/>
    <cellStyle name="Total 8 2 6 2" xfId="15791" xr:uid="{00000000-0005-0000-0000-0000267E0000}"/>
    <cellStyle name="Total 8 2 6 2 2" xfId="30623" xr:uid="{00000000-0005-0000-0000-0000277E0000}"/>
    <cellStyle name="Total 8 2 6 3" xfId="18313" xr:uid="{00000000-0005-0000-0000-0000287E0000}"/>
    <cellStyle name="Total 8 2 7" xfId="11806" xr:uid="{00000000-0005-0000-0000-0000297E0000}"/>
    <cellStyle name="Total 8 2 7 2" xfId="26638" xr:uid="{00000000-0005-0000-0000-00002A7E0000}"/>
    <cellStyle name="Total 8 2 8" xfId="9477" xr:uid="{00000000-0005-0000-0000-00002B7E0000}"/>
    <cellStyle name="Total 8 2 8 2" xfId="19781" xr:uid="{00000000-0005-0000-0000-00002C7E0000}"/>
    <cellStyle name="Total 8 3" xfId="1551" xr:uid="{00000000-0005-0000-0000-00002D7E0000}"/>
    <cellStyle name="Total 8 3 2" xfId="2048" xr:uid="{00000000-0005-0000-0000-00002E7E0000}"/>
    <cellStyle name="Total 8 3 2 2" xfId="3207" xr:uid="{00000000-0005-0000-0000-00002F7E0000}"/>
    <cellStyle name="Total 8 3 2 2 2" xfId="7271" xr:uid="{00000000-0005-0000-0000-0000307E0000}"/>
    <cellStyle name="Total 8 3 2 2 2 2" xfId="17038" xr:uid="{00000000-0005-0000-0000-0000317E0000}"/>
    <cellStyle name="Total 8 3 2 2 2 2 2" xfId="31870" xr:uid="{00000000-0005-0000-0000-0000327E0000}"/>
    <cellStyle name="Total 8 3 2 2 2 3" xfId="18963" xr:uid="{00000000-0005-0000-0000-0000337E0000}"/>
    <cellStyle name="Total 8 3 2 2 3" xfId="13545" xr:uid="{00000000-0005-0000-0000-0000347E0000}"/>
    <cellStyle name="Total 8 3 2 2 3 2" xfId="28377" xr:uid="{00000000-0005-0000-0000-0000357E0000}"/>
    <cellStyle name="Total 8 3 2 2 4" xfId="10682" xr:uid="{00000000-0005-0000-0000-0000367E0000}"/>
    <cellStyle name="Total 8 3 2 2 4 2" xfId="25514" xr:uid="{00000000-0005-0000-0000-0000377E0000}"/>
    <cellStyle name="Total 8 3 2 3" xfId="5016" xr:uid="{00000000-0005-0000-0000-0000387E0000}"/>
    <cellStyle name="Total 8 3 2 3 2" xfId="9055" xr:uid="{00000000-0005-0000-0000-0000397E0000}"/>
    <cellStyle name="Total 8 3 2 3 2 2" xfId="17993" xr:uid="{00000000-0005-0000-0000-00003A7E0000}"/>
    <cellStyle name="Total 8 3 2 3 2 2 2" xfId="32825" xr:uid="{00000000-0005-0000-0000-00003B7E0000}"/>
    <cellStyle name="Total 8 3 2 3 2 3" xfId="19575" xr:uid="{00000000-0005-0000-0000-00003C7E0000}"/>
    <cellStyle name="Total 8 3 2 3 3" xfId="15338" xr:uid="{00000000-0005-0000-0000-00003D7E0000}"/>
    <cellStyle name="Total 8 3 2 3 3 2" xfId="30170" xr:uid="{00000000-0005-0000-0000-00003E7E0000}"/>
    <cellStyle name="Total 8 3 2 3 4" xfId="11594" xr:uid="{00000000-0005-0000-0000-00003F7E0000}"/>
    <cellStyle name="Total 8 3 2 3 4 2" xfId="26426" xr:uid="{00000000-0005-0000-0000-0000407E0000}"/>
    <cellStyle name="Total 8 3 2 4" xfId="3006" xr:uid="{00000000-0005-0000-0000-0000417E0000}"/>
    <cellStyle name="Total 8 3 2 4 2" xfId="7086" xr:uid="{00000000-0005-0000-0000-0000427E0000}"/>
    <cellStyle name="Total 8 3 2 4 2 2" xfId="16885" xr:uid="{00000000-0005-0000-0000-0000437E0000}"/>
    <cellStyle name="Total 8 3 2 4 2 2 2" xfId="31717" xr:uid="{00000000-0005-0000-0000-0000447E0000}"/>
    <cellStyle name="Total 8 3 2 4 2 3" xfId="18867" xr:uid="{00000000-0005-0000-0000-0000457E0000}"/>
    <cellStyle name="Total 8 3 2 4 3" xfId="13344" xr:uid="{00000000-0005-0000-0000-0000467E0000}"/>
    <cellStyle name="Total 8 3 2 4 3 2" xfId="28176" xr:uid="{00000000-0005-0000-0000-0000477E0000}"/>
    <cellStyle name="Total 8 3 2 4 4" xfId="10540" xr:uid="{00000000-0005-0000-0000-0000487E0000}"/>
    <cellStyle name="Total 8 3 2 4 4 2" xfId="25372" xr:uid="{00000000-0005-0000-0000-0000497E0000}"/>
    <cellStyle name="Total 8 3 2 5" xfId="6178" xr:uid="{00000000-0005-0000-0000-00004A7E0000}"/>
    <cellStyle name="Total 8 3 2 5 2" xfId="16365" xr:uid="{00000000-0005-0000-0000-00004B7E0000}"/>
    <cellStyle name="Total 8 3 2 5 2 2" xfId="31197" xr:uid="{00000000-0005-0000-0000-00004C7E0000}"/>
    <cellStyle name="Total 8 3 2 5 3" xfId="18508" xr:uid="{00000000-0005-0000-0000-00004D7E0000}"/>
    <cellStyle name="Total 8 3 2 6" xfId="12435" xr:uid="{00000000-0005-0000-0000-00004E7E0000}"/>
    <cellStyle name="Total 8 3 2 6 2" xfId="27267" xr:uid="{00000000-0005-0000-0000-00004F7E0000}"/>
    <cellStyle name="Total 8 3 2 7" xfId="10017" xr:uid="{00000000-0005-0000-0000-0000507E0000}"/>
    <cellStyle name="Total 8 3 2 7 2" xfId="24849" xr:uid="{00000000-0005-0000-0000-0000517E0000}"/>
    <cellStyle name="Total 8 3 3" xfId="3859" xr:uid="{00000000-0005-0000-0000-0000527E0000}"/>
    <cellStyle name="Total 8 3 3 2" xfId="7911" xr:uid="{00000000-0005-0000-0000-0000537E0000}"/>
    <cellStyle name="Total 8 3 3 2 2" xfId="17396" xr:uid="{00000000-0005-0000-0000-0000547E0000}"/>
    <cellStyle name="Total 8 3 3 2 2 2" xfId="32228" xr:uid="{00000000-0005-0000-0000-0000557E0000}"/>
    <cellStyle name="Total 8 3 3 2 3" xfId="19175" xr:uid="{00000000-0005-0000-0000-0000567E0000}"/>
    <cellStyle name="Total 8 3 3 3" xfId="14194" xr:uid="{00000000-0005-0000-0000-0000577E0000}"/>
    <cellStyle name="Total 8 3 3 3 2" xfId="29026" xr:uid="{00000000-0005-0000-0000-0000587E0000}"/>
    <cellStyle name="Total 8 3 3 4" xfId="11015" xr:uid="{00000000-0005-0000-0000-0000597E0000}"/>
    <cellStyle name="Total 8 3 3 4 2" xfId="25847" xr:uid="{00000000-0005-0000-0000-00005A7E0000}"/>
    <cellStyle name="Total 8 3 4" xfId="4596" xr:uid="{00000000-0005-0000-0000-00005B7E0000}"/>
    <cellStyle name="Total 8 3 4 2" xfId="8635" xr:uid="{00000000-0005-0000-0000-00005C7E0000}"/>
    <cellStyle name="Total 8 3 4 2 2" xfId="17753" xr:uid="{00000000-0005-0000-0000-00005D7E0000}"/>
    <cellStyle name="Total 8 3 4 2 2 2" xfId="32585" xr:uid="{00000000-0005-0000-0000-00005E7E0000}"/>
    <cellStyle name="Total 8 3 4 2 3" xfId="19415" xr:uid="{00000000-0005-0000-0000-00005F7E0000}"/>
    <cellStyle name="Total 8 3 4 3" xfId="14923" xr:uid="{00000000-0005-0000-0000-0000607E0000}"/>
    <cellStyle name="Total 8 3 4 3 2" xfId="29755" xr:uid="{00000000-0005-0000-0000-0000617E0000}"/>
    <cellStyle name="Total 8 3 4 4" xfId="11359" xr:uid="{00000000-0005-0000-0000-0000627E0000}"/>
    <cellStyle name="Total 8 3 4 4 2" xfId="26191" xr:uid="{00000000-0005-0000-0000-0000637E0000}"/>
    <cellStyle name="Total 8 3 5" xfId="2586" xr:uid="{00000000-0005-0000-0000-0000647E0000}"/>
    <cellStyle name="Total 8 3 5 2" xfId="6692" xr:uid="{00000000-0005-0000-0000-0000657E0000}"/>
    <cellStyle name="Total 8 3 5 2 2" xfId="16650" xr:uid="{00000000-0005-0000-0000-0000667E0000}"/>
    <cellStyle name="Total 8 3 5 2 2 2" xfId="31482" xr:uid="{00000000-0005-0000-0000-0000677E0000}"/>
    <cellStyle name="Total 8 3 5 2 3" xfId="18703" xr:uid="{00000000-0005-0000-0000-0000687E0000}"/>
    <cellStyle name="Total 8 3 5 3" xfId="12924" xr:uid="{00000000-0005-0000-0000-0000697E0000}"/>
    <cellStyle name="Total 8 3 5 3 2" xfId="27756" xr:uid="{00000000-0005-0000-0000-00006A7E0000}"/>
    <cellStyle name="Total 8 3 5 4" xfId="10300" xr:uid="{00000000-0005-0000-0000-00006B7E0000}"/>
    <cellStyle name="Total 8 3 5 4 2" xfId="25132" xr:uid="{00000000-0005-0000-0000-00006C7E0000}"/>
    <cellStyle name="Total 8 3 6" xfId="5709" xr:uid="{00000000-0005-0000-0000-00006D7E0000}"/>
    <cellStyle name="Total 8 3 6 2" xfId="15944" xr:uid="{00000000-0005-0000-0000-00006E7E0000}"/>
    <cellStyle name="Total 8 3 6 2 2" xfId="30776" xr:uid="{00000000-0005-0000-0000-00006F7E0000}"/>
    <cellStyle name="Total 8 3 6 3" xfId="18345" xr:uid="{00000000-0005-0000-0000-0000707E0000}"/>
    <cellStyle name="Total 8 3 7" xfId="11964" xr:uid="{00000000-0005-0000-0000-0000717E0000}"/>
    <cellStyle name="Total 8 3 7 2" xfId="26796" xr:uid="{00000000-0005-0000-0000-0000727E0000}"/>
    <cellStyle name="Total 8 3 8" xfId="9622" xr:uid="{00000000-0005-0000-0000-0000737E0000}"/>
    <cellStyle name="Total 8 3 8 2" xfId="19924" xr:uid="{00000000-0005-0000-0000-0000747E0000}"/>
    <cellStyle name="Total 8 4" xfId="1604" xr:uid="{00000000-0005-0000-0000-0000757E0000}"/>
    <cellStyle name="Total 8 4 2" xfId="2101" xr:uid="{00000000-0005-0000-0000-0000767E0000}"/>
    <cellStyle name="Total 8 4 2 2" xfId="3398" xr:uid="{00000000-0005-0000-0000-0000777E0000}"/>
    <cellStyle name="Total 8 4 2 2 2" xfId="7461" xr:uid="{00000000-0005-0000-0000-0000787E0000}"/>
    <cellStyle name="Total 8 4 2 2 2 2" xfId="17160" xr:uid="{00000000-0005-0000-0000-0000797E0000}"/>
    <cellStyle name="Total 8 4 2 2 2 2 2" xfId="31992" xr:uid="{00000000-0005-0000-0000-00007A7E0000}"/>
    <cellStyle name="Total 8 4 2 2 2 3" xfId="19022" xr:uid="{00000000-0005-0000-0000-00007B7E0000}"/>
    <cellStyle name="Total 8 4 2 2 3" xfId="13735" xr:uid="{00000000-0005-0000-0000-00007C7E0000}"/>
    <cellStyle name="Total 8 4 2 2 3 2" xfId="28567" xr:uid="{00000000-0005-0000-0000-00007D7E0000}"/>
    <cellStyle name="Total 8 4 2 2 4" xfId="10779" xr:uid="{00000000-0005-0000-0000-00007E7E0000}"/>
    <cellStyle name="Total 8 4 2 2 4 2" xfId="25611" xr:uid="{00000000-0005-0000-0000-00007F7E0000}"/>
    <cellStyle name="Total 8 4 2 3" xfId="5069" xr:uid="{00000000-0005-0000-0000-0000807E0000}"/>
    <cellStyle name="Total 8 4 2 3 2" xfId="9108" xr:uid="{00000000-0005-0000-0000-0000817E0000}"/>
    <cellStyle name="Total 8 4 2 3 2 2" xfId="18041" xr:uid="{00000000-0005-0000-0000-0000827E0000}"/>
    <cellStyle name="Total 8 4 2 3 2 2 2" xfId="32873" xr:uid="{00000000-0005-0000-0000-0000837E0000}"/>
    <cellStyle name="Total 8 4 2 3 2 3" xfId="19607" xr:uid="{00000000-0005-0000-0000-0000847E0000}"/>
    <cellStyle name="Total 8 4 2 3 3" xfId="15390" xr:uid="{00000000-0005-0000-0000-0000857E0000}"/>
    <cellStyle name="Total 8 4 2 3 3 2" xfId="30222" xr:uid="{00000000-0005-0000-0000-0000867E0000}"/>
    <cellStyle name="Total 8 4 2 3 4" xfId="11641" xr:uid="{00000000-0005-0000-0000-0000877E0000}"/>
    <cellStyle name="Total 8 4 2 3 4 2" xfId="26473" xr:uid="{00000000-0005-0000-0000-0000887E0000}"/>
    <cellStyle name="Total 8 4 2 4" xfId="3059" xr:uid="{00000000-0005-0000-0000-0000897E0000}"/>
    <cellStyle name="Total 8 4 2 4 2" xfId="7134" xr:uid="{00000000-0005-0000-0000-00008A7E0000}"/>
    <cellStyle name="Total 8 4 2 4 2 2" xfId="16932" xr:uid="{00000000-0005-0000-0000-00008B7E0000}"/>
    <cellStyle name="Total 8 4 2 4 2 2 2" xfId="31764" xr:uid="{00000000-0005-0000-0000-00008C7E0000}"/>
    <cellStyle name="Total 8 4 2 4 2 3" xfId="18900" xr:uid="{00000000-0005-0000-0000-00008D7E0000}"/>
    <cellStyle name="Total 8 4 2 4 3" xfId="13397" xr:uid="{00000000-0005-0000-0000-00008E7E0000}"/>
    <cellStyle name="Total 8 4 2 4 3 2" xfId="28229" xr:uid="{00000000-0005-0000-0000-00008F7E0000}"/>
    <cellStyle name="Total 8 4 2 4 4" xfId="10588" xr:uid="{00000000-0005-0000-0000-0000907E0000}"/>
    <cellStyle name="Total 8 4 2 4 4 2" xfId="25420" xr:uid="{00000000-0005-0000-0000-0000917E0000}"/>
    <cellStyle name="Total 8 4 2 5" xfId="6226" xr:uid="{00000000-0005-0000-0000-0000927E0000}"/>
    <cellStyle name="Total 8 4 2 5 2" xfId="16412" xr:uid="{00000000-0005-0000-0000-0000937E0000}"/>
    <cellStyle name="Total 8 4 2 5 2 2" xfId="31244" xr:uid="{00000000-0005-0000-0000-0000947E0000}"/>
    <cellStyle name="Total 8 4 2 5 3" xfId="18541" xr:uid="{00000000-0005-0000-0000-0000957E0000}"/>
    <cellStyle name="Total 8 4 2 6" xfId="12482" xr:uid="{00000000-0005-0000-0000-0000967E0000}"/>
    <cellStyle name="Total 8 4 2 6 2" xfId="27314" xr:uid="{00000000-0005-0000-0000-0000977E0000}"/>
    <cellStyle name="Total 8 4 2 7" xfId="10064" xr:uid="{00000000-0005-0000-0000-0000987E0000}"/>
    <cellStyle name="Total 8 4 2 7 2" xfId="24896" xr:uid="{00000000-0005-0000-0000-0000997E0000}"/>
    <cellStyle name="Total 8 4 3" xfId="3658" xr:uid="{00000000-0005-0000-0000-00009A7E0000}"/>
    <cellStyle name="Total 8 4 3 2" xfId="7717" xr:uid="{00000000-0005-0000-0000-00009B7E0000}"/>
    <cellStyle name="Total 8 4 3 2 2" xfId="17305" xr:uid="{00000000-0005-0000-0000-00009C7E0000}"/>
    <cellStyle name="Total 8 4 3 2 2 2" xfId="32137" xr:uid="{00000000-0005-0000-0000-00009D7E0000}"/>
    <cellStyle name="Total 8 4 3 2 3" xfId="19114" xr:uid="{00000000-0005-0000-0000-00009E7E0000}"/>
    <cellStyle name="Total 8 4 3 3" xfId="13993" xr:uid="{00000000-0005-0000-0000-00009F7E0000}"/>
    <cellStyle name="Total 8 4 3 3 2" xfId="28825" xr:uid="{00000000-0005-0000-0000-0000A07E0000}"/>
    <cellStyle name="Total 8 4 3 4" xfId="10921" xr:uid="{00000000-0005-0000-0000-0000A17E0000}"/>
    <cellStyle name="Total 8 4 3 4 2" xfId="25753" xr:uid="{00000000-0005-0000-0000-0000A27E0000}"/>
    <cellStyle name="Total 8 4 4" xfId="4649" xr:uid="{00000000-0005-0000-0000-0000A37E0000}"/>
    <cellStyle name="Total 8 4 4 2" xfId="8688" xr:uid="{00000000-0005-0000-0000-0000A47E0000}"/>
    <cellStyle name="Total 8 4 4 2 2" xfId="17801" xr:uid="{00000000-0005-0000-0000-0000A57E0000}"/>
    <cellStyle name="Total 8 4 4 2 2 2" xfId="32633" xr:uid="{00000000-0005-0000-0000-0000A67E0000}"/>
    <cellStyle name="Total 8 4 4 2 3" xfId="19447" xr:uid="{00000000-0005-0000-0000-0000A77E0000}"/>
    <cellStyle name="Total 8 4 4 3" xfId="14975" xr:uid="{00000000-0005-0000-0000-0000A87E0000}"/>
    <cellStyle name="Total 8 4 4 3 2" xfId="29807" xr:uid="{00000000-0005-0000-0000-0000A97E0000}"/>
    <cellStyle name="Total 8 4 4 4" xfId="11406" xr:uid="{00000000-0005-0000-0000-0000AA7E0000}"/>
    <cellStyle name="Total 8 4 4 4 2" xfId="26238" xr:uid="{00000000-0005-0000-0000-0000AB7E0000}"/>
    <cellStyle name="Total 8 4 5" xfId="2639" xr:uid="{00000000-0005-0000-0000-0000AC7E0000}"/>
    <cellStyle name="Total 8 4 5 2" xfId="6740" xr:uid="{00000000-0005-0000-0000-0000AD7E0000}"/>
    <cellStyle name="Total 8 4 5 2 2" xfId="16697" xr:uid="{00000000-0005-0000-0000-0000AE7E0000}"/>
    <cellStyle name="Total 8 4 5 2 2 2" xfId="31529" xr:uid="{00000000-0005-0000-0000-0000AF7E0000}"/>
    <cellStyle name="Total 8 4 5 2 3" xfId="18736" xr:uid="{00000000-0005-0000-0000-0000B07E0000}"/>
    <cellStyle name="Total 8 4 5 3" xfId="12977" xr:uid="{00000000-0005-0000-0000-0000B17E0000}"/>
    <cellStyle name="Total 8 4 5 3 2" xfId="27809" xr:uid="{00000000-0005-0000-0000-0000B27E0000}"/>
    <cellStyle name="Total 8 4 5 4" xfId="10348" xr:uid="{00000000-0005-0000-0000-0000B37E0000}"/>
    <cellStyle name="Total 8 4 5 4 2" xfId="25180" xr:uid="{00000000-0005-0000-0000-0000B47E0000}"/>
    <cellStyle name="Total 8 4 6" xfId="5756" xr:uid="{00000000-0005-0000-0000-0000B57E0000}"/>
    <cellStyle name="Total 8 4 6 2" xfId="15991" xr:uid="{00000000-0005-0000-0000-0000B67E0000}"/>
    <cellStyle name="Total 8 4 6 2 2" xfId="30823" xr:uid="{00000000-0005-0000-0000-0000B77E0000}"/>
    <cellStyle name="Total 8 4 6 3" xfId="18377" xr:uid="{00000000-0005-0000-0000-0000B87E0000}"/>
    <cellStyle name="Total 8 4 7" xfId="12011" xr:uid="{00000000-0005-0000-0000-0000B97E0000}"/>
    <cellStyle name="Total 8 4 7 2" xfId="26843" xr:uid="{00000000-0005-0000-0000-0000BA7E0000}"/>
    <cellStyle name="Total 8 4 8" xfId="9670" xr:uid="{00000000-0005-0000-0000-0000BB7E0000}"/>
    <cellStyle name="Total 8 4 8 2" xfId="19971" xr:uid="{00000000-0005-0000-0000-0000BC7E0000}"/>
    <cellStyle name="Total 8 5" xfId="1654" xr:uid="{00000000-0005-0000-0000-0000BD7E0000}"/>
    <cellStyle name="Total 8 5 2" xfId="2151" xr:uid="{00000000-0005-0000-0000-0000BE7E0000}"/>
    <cellStyle name="Total 8 5 2 2" xfId="3653" xr:uid="{00000000-0005-0000-0000-0000BF7E0000}"/>
    <cellStyle name="Total 8 5 2 2 2" xfId="7712" xr:uid="{00000000-0005-0000-0000-0000C07E0000}"/>
    <cellStyle name="Total 8 5 2 2 2 2" xfId="17302" xr:uid="{00000000-0005-0000-0000-0000C17E0000}"/>
    <cellStyle name="Total 8 5 2 2 2 2 2" xfId="32134" xr:uid="{00000000-0005-0000-0000-0000C27E0000}"/>
    <cellStyle name="Total 8 5 2 2 2 3" xfId="19113" xr:uid="{00000000-0005-0000-0000-0000C37E0000}"/>
    <cellStyle name="Total 8 5 2 2 3" xfId="13988" xr:uid="{00000000-0005-0000-0000-0000C47E0000}"/>
    <cellStyle name="Total 8 5 2 2 3 2" xfId="28820" xr:uid="{00000000-0005-0000-0000-0000C57E0000}"/>
    <cellStyle name="Total 8 5 2 2 4" xfId="10918" xr:uid="{00000000-0005-0000-0000-0000C67E0000}"/>
    <cellStyle name="Total 8 5 2 2 4 2" xfId="25750" xr:uid="{00000000-0005-0000-0000-0000C77E0000}"/>
    <cellStyle name="Total 8 5 2 3" xfId="5119" xr:uid="{00000000-0005-0000-0000-0000C87E0000}"/>
    <cellStyle name="Total 8 5 2 3 2" xfId="9158" xr:uid="{00000000-0005-0000-0000-0000C97E0000}"/>
    <cellStyle name="Total 8 5 2 3 2 2" xfId="18086" xr:uid="{00000000-0005-0000-0000-0000CA7E0000}"/>
    <cellStyle name="Total 8 5 2 3 2 2 2" xfId="32918" xr:uid="{00000000-0005-0000-0000-0000CB7E0000}"/>
    <cellStyle name="Total 8 5 2 3 2 3" xfId="19639" xr:uid="{00000000-0005-0000-0000-0000CC7E0000}"/>
    <cellStyle name="Total 8 5 2 3 3" xfId="15439" xr:uid="{00000000-0005-0000-0000-0000CD7E0000}"/>
    <cellStyle name="Total 8 5 2 3 3 2" xfId="30271" xr:uid="{00000000-0005-0000-0000-0000CE7E0000}"/>
    <cellStyle name="Total 8 5 2 3 4" xfId="11685" xr:uid="{00000000-0005-0000-0000-0000CF7E0000}"/>
    <cellStyle name="Total 8 5 2 3 4 2" xfId="26517" xr:uid="{00000000-0005-0000-0000-0000D07E0000}"/>
    <cellStyle name="Total 8 5 2 4" xfId="3109" xr:uid="{00000000-0005-0000-0000-0000D17E0000}"/>
    <cellStyle name="Total 8 5 2 4 2" xfId="7179" xr:uid="{00000000-0005-0000-0000-0000D27E0000}"/>
    <cellStyle name="Total 8 5 2 4 2 2" xfId="16976" xr:uid="{00000000-0005-0000-0000-0000D37E0000}"/>
    <cellStyle name="Total 8 5 2 4 2 2 2" xfId="31808" xr:uid="{00000000-0005-0000-0000-0000D47E0000}"/>
    <cellStyle name="Total 8 5 2 4 2 3" xfId="18933" xr:uid="{00000000-0005-0000-0000-0000D57E0000}"/>
    <cellStyle name="Total 8 5 2 4 3" xfId="13447" xr:uid="{00000000-0005-0000-0000-0000D67E0000}"/>
    <cellStyle name="Total 8 5 2 4 3 2" xfId="28279" xr:uid="{00000000-0005-0000-0000-0000D77E0000}"/>
    <cellStyle name="Total 8 5 2 4 4" xfId="10633" xr:uid="{00000000-0005-0000-0000-0000D87E0000}"/>
    <cellStyle name="Total 8 5 2 4 4 2" xfId="25465" xr:uid="{00000000-0005-0000-0000-0000D97E0000}"/>
    <cellStyle name="Total 8 5 2 5" xfId="6271" xr:uid="{00000000-0005-0000-0000-0000DA7E0000}"/>
    <cellStyle name="Total 8 5 2 5 2" xfId="16456" xr:uid="{00000000-0005-0000-0000-0000DB7E0000}"/>
    <cellStyle name="Total 8 5 2 5 2 2" xfId="31288" xr:uid="{00000000-0005-0000-0000-0000DC7E0000}"/>
    <cellStyle name="Total 8 5 2 5 3" xfId="18574" xr:uid="{00000000-0005-0000-0000-0000DD7E0000}"/>
    <cellStyle name="Total 8 5 2 6" xfId="12526" xr:uid="{00000000-0005-0000-0000-0000DE7E0000}"/>
    <cellStyle name="Total 8 5 2 6 2" xfId="27358" xr:uid="{00000000-0005-0000-0000-0000DF7E0000}"/>
    <cellStyle name="Total 8 5 2 7" xfId="10108" xr:uid="{00000000-0005-0000-0000-0000E07E0000}"/>
    <cellStyle name="Total 8 5 2 7 2" xfId="24940" xr:uid="{00000000-0005-0000-0000-0000E17E0000}"/>
    <cellStyle name="Total 8 5 3" xfId="3117" xr:uid="{00000000-0005-0000-0000-0000E27E0000}"/>
    <cellStyle name="Total 8 5 3 2" xfId="7182" xr:uid="{00000000-0005-0000-0000-0000E37E0000}"/>
    <cellStyle name="Total 8 5 3 2 2" xfId="16978" xr:uid="{00000000-0005-0000-0000-0000E47E0000}"/>
    <cellStyle name="Total 8 5 3 2 2 2" xfId="31810" xr:uid="{00000000-0005-0000-0000-0000E57E0000}"/>
    <cellStyle name="Total 8 5 3 2 3" xfId="18936" xr:uid="{00000000-0005-0000-0000-0000E67E0000}"/>
    <cellStyle name="Total 8 5 3 3" xfId="13455" xr:uid="{00000000-0005-0000-0000-0000E77E0000}"/>
    <cellStyle name="Total 8 5 3 3 2" xfId="28287" xr:uid="{00000000-0005-0000-0000-0000E87E0000}"/>
    <cellStyle name="Total 8 5 3 4" xfId="10636" xr:uid="{00000000-0005-0000-0000-0000E97E0000}"/>
    <cellStyle name="Total 8 5 3 4 2" xfId="25468" xr:uid="{00000000-0005-0000-0000-0000EA7E0000}"/>
    <cellStyle name="Total 8 5 4" xfId="4699" xr:uid="{00000000-0005-0000-0000-0000EB7E0000}"/>
    <cellStyle name="Total 8 5 4 2" xfId="8738" xr:uid="{00000000-0005-0000-0000-0000EC7E0000}"/>
    <cellStyle name="Total 8 5 4 2 2" xfId="17846" xr:uid="{00000000-0005-0000-0000-0000ED7E0000}"/>
    <cellStyle name="Total 8 5 4 2 2 2" xfId="32678" xr:uid="{00000000-0005-0000-0000-0000EE7E0000}"/>
    <cellStyle name="Total 8 5 4 2 3" xfId="19479" xr:uid="{00000000-0005-0000-0000-0000EF7E0000}"/>
    <cellStyle name="Total 8 5 4 3" xfId="15024" xr:uid="{00000000-0005-0000-0000-0000F07E0000}"/>
    <cellStyle name="Total 8 5 4 3 2" xfId="29856" xr:uid="{00000000-0005-0000-0000-0000F17E0000}"/>
    <cellStyle name="Total 8 5 4 4" xfId="11450" xr:uid="{00000000-0005-0000-0000-0000F27E0000}"/>
    <cellStyle name="Total 8 5 4 4 2" xfId="26282" xr:uid="{00000000-0005-0000-0000-0000F37E0000}"/>
    <cellStyle name="Total 8 5 5" xfId="2689" xr:uid="{00000000-0005-0000-0000-0000F47E0000}"/>
    <cellStyle name="Total 8 5 5 2" xfId="6785" xr:uid="{00000000-0005-0000-0000-0000F57E0000}"/>
    <cellStyle name="Total 8 5 5 2 2" xfId="16741" xr:uid="{00000000-0005-0000-0000-0000F67E0000}"/>
    <cellStyle name="Total 8 5 5 2 2 2" xfId="31573" xr:uid="{00000000-0005-0000-0000-0000F77E0000}"/>
    <cellStyle name="Total 8 5 5 2 3" xfId="18769" xr:uid="{00000000-0005-0000-0000-0000F87E0000}"/>
    <cellStyle name="Total 8 5 5 3" xfId="13027" xr:uid="{00000000-0005-0000-0000-0000F97E0000}"/>
    <cellStyle name="Total 8 5 5 3 2" xfId="27859" xr:uid="{00000000-0005-0000-0000-0000FA7E0000}"/>
    <cellStyle name="Total 8 5 5 4" xfId="10393" xr:uid="{00000000-0005-0000-0000-0000FB7E0000}"/>
    <cellStyle name="Total 8 5 5 4 2" xfId="25225" xr:uid="{00000000-0005-0000-0000-0000FC7E0000}"/>
    <cellStyle name="Total 8 5 6" xfId="5801" xr:uid="{00000000-0005-0000-0000-0000FD7E0000}"/>
    <cellStyle name="Total 8 5 6 2" xfId="16035" xr:uid="{00000000-0005-0000-0000-0000FE7E0000}"/>
    <cellStyle name="Total 8 5 6 2 2" xfId="30867" xr:uid="{00000000-0005-0000-0000-0000FF7E0000}"/>
    <cellStyle name="Total 8 5 6 3" xfId="18410" xr:uid="{00000000-0005-0000-0000-0000007F0000}"/>
    <cellStyle name="Total 8 5 7" xfId="12055" xr:uid="{00000000-0005-0000-0000-0000017F0000}"/>
    <cellStyle name="Total 8 5 7 2" xfId="26887" xr:uid="{00000000-0005-0000-0000-0000027F0000}"/>
    <cellStyle name="Total 8 5 8" xfId="9715" xr:uid="{00000000-0005-0000-0000-0000037F0000}"/>
    <cellStyle name="Total 8 5 8 2" xfId="20015" xr:uid="{00000000-0005-0000-0000-0000047F0000}"/>
    <cellStyle name="Total 8 6" xfId="1805" xr:uid="{00000000-0005-0000-0000-0000057F0000}"/>
    <cellStyle name="Total 8 6 2" xfId="3478" xr:uid="{00000000-0005-0000-0000-0000067F0000}"/>
    <cellStyle name="Total 8 6 2 2" xfId="7540" xr:uid="{00000000-0005-0000-0000-0000077F0000}"/>
    <cellStyle name="Total 8 6 2 2 2" xfId="17208" xr:uid="{00000000-0005-0000-0000-0000087F0000}"/>
    <cellStyle name="Total 8 6 2 2 2 2" xfId="32040" xr:uid="{00000000-0005-0000-0000-0000097F0000}"/>
    <cellStyle name="Total 8 6 2 2 3" xfId="19046" xr:uid="{00000000-0005-0000-0000-00000A7F0000}"/>
    <cellStyle name="Total 8 6 2 3" xfId="13815" xr:uid="{00000000-0005-0000-0000-00000B7F0000}"/>
    <cellStyle name="Total 8 6 2 3 2" xfId="28647" xr:uid="{00000000-0005-0000-0000-00000C7F0000}"/>
    <cellStyle name="Total 8 6 2 4" xfId="10826" xr:uid="{00000000-0005-0000-0000-00000D7F0000}"/>
    <cellStyle name="Total 8 6 2 4 2" xfId="25658" xr:uid="{00000000-0005-0000-0000-00000E7F0000}"/>
    <cellStyle name="Total 8 6 3" xfId="4783" xr:uid="{00000000-0005-0000-0000-00000F7F0000}"/>
    <cellStyle name="Total 8 6 3 2" xfId="8822" xr:uid="{00000000-0005-0000-0000-0000107F0000}"/>
    <cellStyle name="Total 8 6 3 2 2" xfId="17894" xr:uid="{00000000-0005-0000-0000-0000117F0000}"/>
    <cellStyle name="Total 8 6 3 2 2 2" xfId="32726" xr:uid="{00000000-0005-0000-0000-0000127F0000}"/>
    <cellStyle name="Total 8 6 3 2 3" xfId="19511" xr:uid="{00000000-0005-0000-0000-0000137F0000}"/>
    <cellStyle name="Total 8 6 3 3" xfId="15107" xr:uid="{00000000-0005-0000-0000-0000147F0000}"/>
    <cellStyle name="Total 8 6 3 3 2" xfId="29939" xr:uid="{00000000-0005-0000-0000-0000157F0000}"/>
    <cellStyle name="Total 8 6 3 4" xfId="11497" xr:uid="{00000000-0005-0000-0000-0000167F0000}"/>
    <cellStyle name="Total 8 6 3 4 2" xfId="26329" xr:uid="{00000000-0005-0000-0000-0000177F0000}"/>
    <cellStyle name="Total 8 6 4" xfId="2773" xr:uid="{00000000-0005-0000-0000-0000187F0000}"/>
    <cellStyle name="Total 8 6 4 2" xfId="6864" xr:uid="{00000000-0005-0000-0000-0000197F0000}"/>
    <cellStyle name="Total 8 6 4 2 2" xfId="16788" xr:uid="{00000000-0005-0000-0000-00001A7F0000}"/>
    <cellStyle name="Total 8 6 4 2 2 2" xfId="31620" xr:uid="{00000000-0005-0000-0000-00001B7F0000}"/>
    <cellStyle name="Total 8 6 4 2 3" xfId="18802" xr:uid="{00000000-0005-0000-0000-00001C7F0000}"/>
    <cellStyle name="Total 8 6 4 3" xfId="13111" xr:uid="{00000000-0005-0000-0000-00001D7F0000}"/>
    <cellStyle name="Total 8 6 4 3 2" xfId="27943" xr:uid="{00000000-0005-0000-0000-00001E7F0000}"/>
    <cellStyle name="Total 8 6 4 4" xfId="10441" xr:uid="{00000000-0005-0000-0000-00001F7F0000}"/>
    <cellStyle name="Total 8 6 4 4 2" xfId="25273" xr:uid="{00000000-0005-0000-0000-0000207F0000}"/>
    <cellStyle name="Total 8 6 5" xfId="5937" xr:uid="{00000000-0005-0000-0000-0000217F0000}"/>
    <cellStyle name="Total 8 6 5 2" xfId="16129" xr:uid="{00000000-0005-0000-0000-0000227F0000}"/>
    <cellStyle name="Total 8 6 5 2 2" xfId="30961" xr:uid="{00000000-0005-0000-0000-0000237F0000}"/>
    <cellStyle name="Total 8 6 5 3" xfId="18444" xr:uid="{00000000-0005-0000-0000-0000247F0000}"/>
    <cellStyle name="Total 8 6 6" xfId="12199" xr:uid="{00000000-0005-0000-0000-0000257F0000}"/>
    <cellStyle name="Total 8 6 6 2" xfId="27031" xr:uid="{00000000-0005-0000-0000-0000267F0000}"/>
    <cellStyle name="Total 8 6 7" xfId="9795" xr:uid="{00000000-0005-0000-0000-0000277F0000}"/>
    <cellStyle name="Total 8 6 7 2" xfId="24752" xr:uid="{00000000-0005-0000-0000-0000287F0000}"/>
    <cellStyle name="Total 8 7" xfId="2161" xr:uid="{00000000-0005-0000-0000-0000297F0000}"/>
    <cellStyle name="Total 8 7 2" xfId="3633" xr:uid="{00000000-0005-0000-0000-00002A7F0000}"/>
    <cellStyle name="Total 8 7 2 2" xfId="7692" xr:uid="{00000000-0005-0000-0000-00002B7F0000}"/>
    <cellStyle name="Total 8 7 2 2 2" xfId="17291" xr:uid="{00000000-0005-0000-0000-00002C7F0000}"/>
    <cellStyle name="Total 8 7 2 2 2 2" xfId="32123" xr:uid="{00000000-0005-0000-0000-00002D7F0000}"/>
    <cellStyle name="Total 8 7 2 2 3" xfId="19105" xr:uid="{00000000-0005-0000-0000-00002E7F0000}"/>
    <cellStyle name="Total 8 7 2 3" xfId="13968" xr:uid="{00000000-0005-0000-0000-00002F7F0000}"/>
    <cellStyle name="Total 8 7 2 3 2" xfId="28800" xr:uid="{00000000-0005-0000-0000-0000307F0000}"/>
    <cellStyle name="Total 8 7 2 4" xfId="10907" xr:uid="{00000000-0005-0000-0000-0000317F0000}"/>
    <cellStyle name="Total 8 7 2 4 2" xfId="25739" xr:uid="{00000000-0005-0000-0000-0000327F0000}"/>
    <cellStyle name="Total 8 7 3" xfId="5129" xr:uid="{00000000-0005-0000-0000-0000337F0000}"/>
    <cellStyle name="Total 8 7 3 2" xfId="9168" xr:uid="{00000000-0005-0000-0000-0000347F0000}"/>
    <cellStyle name="Total 8 7 3 2 2" xfId="18091" xr:uid="{00000000-0005-0000-0000-0000357F0000}"/>
    <cellStyle name="Total 8 7 3 2 2 2" xfId="32923" xr:uid="{00000000-0005-0000-0000-0000367F0000}"/>
    <cellStyle name="Total 8 7 3 2 3" xfId="19642" xr:uid="{00000000-0005-0000-0000-0000377F0000}"/>
    <cellStyle name="Total 8 7 3 3" xfId="15447" xr:uid="{00000000-0005-0000-0000-0000387F0000}"/>
    <cellStyle name="Total 8 7 3 3 2" xfId="30279" xr:uid="{00000000-0005-0000-0000-0000397F0000}"/>
    <cellStyle name="Total 8 7 3 4" xfId="11688" xr:uid="{00000000-0005-0000-0000-00003A7F0000}"/>
    <cellStyle name="Total 8 7 3 4 2" xfId="26520" xr:uid="{00000000-0005-0000-0000-00003B7F0000}"/>
    <cellStyle name="Total 8 7 4" xfId="4159" xr:uid="{00000000-0005-0000-0000-00003C7F0000}"/>
    <cellStyle name="Total 8 7 4 2" xfId="8200" xr:uid="{00000000-0005-0000-0000-00003D7F0000}"/>
    <cellStyle name="Total 8 7 4 2 2" xfId="17547" xr:uid="{00000000-0005-0000-0000-00003E7F0000}"/>
    <cellStyle name="Total 8 7 4 2 2 2" xfId="32379" xr:uid="{00000000-0005-0000-0000-00003F7F0000}"/>
    <cellStyle name="Total 8 7 4 2 3" xfId="19285" xr:uid="{00000000-0005-0000-0000-0000407F0000}"/>
    <cellStyle name="Total 8 7 4 3" xfId="14491" xr:uid="{00000000-0005-0000-0000-0000417F0000}"/>
    <cellStyle name="Total 8 7 4 3 2" xfId="29323" xr:uid="{00000000-0005-0000-0000-0000427F0000}"/>
    <cellStyle name="Total 8 7 4 4" xfId="11167" xr:uid="{00000000-0005-0000-0000-0000437F0000}"/>
    <cellStyle name="Total 8 7 4 4 2" xfId="25999" xr:uid="{00000000-0005-0000-0000-0000447F0000}"/>
    <cellStyle name="Total 8 7 5" xfId="6275" xr:uid="{00000000-0005-0000-0000-0000457F0000}"/>
    <cellStyle name="Total 8 7 5 2" xfId="16459" xr:uid="{00000000-0005-0000-0000-0000467F0000}"/>
    <cellStyle name="Total 8 7 5 2 2" xfId="31291" xr:uid="{00000000-0005-0000-0000-0000477F0000}"/>
    <cellStyle name="Total 8 7 5 3" xfId="18578" xr:uid="{00000000-0005-0000-0000-0000487F0000}"/>
    <cellStyle name="Total 8 7 6" xfId="12529" xr:uid="{00000000-0005-0000-0000-0000497F0000}"/>
    <cellStyle name="Total 8 7 6 2" xfId="27361" xr:uid="{00000000-0005-0000-0000-00004A7F0000}"/>
    <cellStyle name="Total 8 7 7" xfId="10111" xr:uid="{00000000-0005-0000-0000-00004B7F0000}"/>
    <cellStyle name="Total 8 7 7 2" xfId="24943" xr:uid="{00000000-0005-0000-0000-00004C7F0000}"/>
    <cellStyle name="Total 8 8" xfId="3320" xr:uid="{00000000-0005-0000-0000-00004D7F0000}"/>
    <cellStyle name="Total 8 8 2" xfId="7383" xr:uid="{00000000-0005-0000-0000-00004E7F0000}"/>
    <cellStyle name="Total 8 8 2 2" xfId="17117" xr:uid="{00000000-0005-0000-0000-00004F7F0000}"/>
    <cellStyle name="Total 8 8 2 2 2" xfId="31949" xr:uid="{00000000-0005-0000-0000-0000507F0000}"/>
    <cellStyle name="Total 8 8 2 3" xfId="18997" xr:uid="{00000000-0005-0000-0000-0000517F0000}"/>
    <cellStyle name="Total 8 8 3" xfId="13657" xr:uid="{00000000-0005-0000-0000-0000527F0000}"/>
    <cellStyle name="Total 8 8 3 2" xfId="28489" xr:uid="{00000000-0005-0000-0000-0000537F0000}"/>
    <cellStyle name="Total 8 8 4" xfId="10738" xr:uid="{00000000-0005-0000-0000-0000547F0000}"/>
    <cellStyle name="Total 8 8 4 2" xfId="25570" xr:uid="{00000000-0005-0000-0000-0000557F0000}"/>
    <cellStyle name="Total 8 9" xfId="4311" xr:uid="{00000000-0005-0000-0000-0000567F0000}"/>
    <cellStyle name="Total 8 9 2" xfId="8350" xr:uid="{00000000-0005-0000-0000-0000577F0000}"/>
    <cellStyle name="Total 8 9 2 2" xfId="17629" xr:uid="{00000000-0005-0000-0000-0000587F0000}"/>
    <cellStyle name="Total 8 9 2 2 2" xfId="32461" xr:uid="{00000000-0005-0000-0000-0000597F0000}"/>
    <cellStyle name="Total 8 9 2 3" xfId="19332" xr:uid="{00000000-0005-0000-0000-00005A7F0000}"/>
    <cellStyle name="Total 8 9 3" xfId="14642" xr:uid="{00000000-0005-0000-0000-00005B7F0000}"/>
    <cellStyle name="Total 8 9 3 2" xfId="29474" xr:uid="{00000000-0005-0000-0000-00005C7F0000}"/>
    <cellStyle name="Total 8 9 4" xfId="11239" xr:uid="{00000000-0005-0000-0000-00005D7F0000}"/>
    <cellStyle name="Total 8 9 4 2" xfId="26071" xr:uid="{00000000-0005-0000-0000-00005E7F0000}"/>
    <cellStyle name="Total 9" xfId="1281" xr:uid="{00000000-0005-0000-0000-00005F7F0000}"/>
    <cellStyle name="Total 9 10" xfId="2348" xr:uid="{00000000-0005-0000-0000-0000607F0000}"/>
    <cellStyle name="Total 9 10 2" xfId="6460" xr:uid="{00000000-0005-0000-0000-0000617F0000}"/>
    <cellStyle name="Total 9 10 2 2" xfId="16552" xr:uid="{00000000-0005-0000-0000-0000627F0000}"/>
    <cellStyle name="Total 9 10 2 2 2" xfId="31384" xr:uid="{00000000-0005-0000-0000-0000637F0000}"/>
    <cellStyle name="Total 9 10 2 3" xfId="18640" xr:uid="{00000000-0005-0000-0000-0000647F0000}"/>
    <cellStyle name="Total 9 10 3" xfId="12688" xr:uid="{00000000-0005-0000-0000-0000657F0000}"/>
    <cellStyle name="Total 9 10 3 2" xfId="27520" xr:uid="{00000000-0005-0000-0000-0000667F0000}"/>
    <cellStyle name="Total 9 10 4" xfId="10203" xr:uid="{00000000-0005-0000-0000-0000677F0000}"/>
    <cellStyle name="Total 9 10 4 2" xfId="25035" xr:uid="{00000000-0005-0000-0000-0000687F0000}"/>
    <cellStyle name="Total 9 11" xfId="5310" xr:uid="{00000000-0005-0000-0000-0000697F0000}"/>
    <cellStyle name="Total 9 11 2" xfId="9318" xr:uid="{00000000-0005-0000-0000-00006A7F0000}"/>
    <cellStyle name="Total 9 11 2 2" xfId="18185" xr:uid="{00000000-0005-0000-0000-00006B7F0000}"/>
    <cellStyle name="Total 9 11 2 2 2" xfId="33017" xr:uid="{00000000-0005-0000-0000-00006C7F0000}"/>
    <cellStyle name="Total 9 11 2 3" xfId="19704" xr:uid="{00000000-0005-0000-0000-00006D7F0000}"/>
    <cellStyle name="Total 9 11 3" xfId="15626" xr:uid="{00000000-0005-0000-0000-00006E7F0000}"/>
    <cellStyle name="Total 9 11 3 2" xfId="30458" xr:uid="{00000000-0005-0000-0000-00006F7F0000}"/>
    <cellStyle name="Total 9 12" xfId="5468" xr:uid="{00000000-0005-0000-0000-0000707F0000}"/>
    <cellStyle name="Total 9 12 2" xfId="15704" xr:uid="{00000000-0005-0000-0000-0000717F0000}"/>
    <cellStyle name="Total 9 12 2 2" xfId="30536" xr:uid="{00000000-0005-0000-0000-0000727F0000}"/>
    <cellStyle name="Total 9 12 3" xfId="18281" xr:uid="{00000000-0005-0000-0000-0000737F0000}"/>
    <cellStyle name="Total 9 13" xfId="9323" xr:uid="{00000000-0005-0000-0000-0000747F0000}"/>
    <cellStyle name="Total 9 13 2" xfId="24629" xr:uid="{00000000-0005-0000-0000-0000757F0000}"/>
    <cellStyle name="Total 9 14" xfId="5312" xr:uid="{00000000-0005-0000-0000-0000767F0000}"/>
    <cellStyle name="Total 9 14 2" xfId="18186" xr:uid="{00000000-0005-0000-0000-0000777F0000}"/>
    <cellStyle name="Total 9 2" xfId="1380" xr:uid="{00000000-0005-0000-0000-0000787F0000}"/>
    <cellStyle name="Total 9 2 2" xfId="1884" xr:uid="{00000000-0005-0000-0000-0000797F0000}"/>
    <cellStyle name="Total 9 2 2 2" xfId="4340" xr:uid="{00000000-0005-0000-0000-00007A7F0000}"/>
    <cellStyle name="Total 9 2 2 2 2" xfId="8379" xr:uid="{00000000-0005-0000-0000-00007B7F0000}"/>
    <cellStyle name="Total 9 2 2 2 2 2" xfId="17653" xr:uid="{00000000-0005-0000-0000-00007C7F0000}"/>
    <cellStyle name="Total 9 2 2 2 2 2 2" xfId="32485" xr:uid="{00000000-0005-0000-0000-00007D7F0000}"/>
    <cellStyle name="Total 9 2 2 2 2 3" xfId="19352" xr:uid="{00000000-0005-0000-0000-00007E7F0000}"/>
    <cellStyle name="Total 9 2 2 2 3" xfId="14671" xr:uid="{00000000-0005-0000-0000-00007F7F0000}"/>
    <cellStyle name="Total 9 2 2 2 3 2" xfId="29503" xr:uid="{00000000-0005-0000-0000-0000807F0000}"/>
    <cellStyle name="Total 9 2 2 2 4" xfId="11263" xr:uid="{00000000-0005-0000-0000-0000817F0000}"/>
    <cellStyle name="Total 9 2 2 2 4 2" xfId="26095" xr:uid="{00000000-0005-0000-0000-0000827F0000}"/>
    <cellStyle name="Total 9 2 2 3" xfId="4862" xr:uid="{00000000-0005-0000-0000-0000837F0000}"/>
    <cellStyle name="Total 9 2 2 3 2" xfId="8901" xr:uid="{00000000-0005-0000-0000-0000847F0000}"/>
    <cellStyle name="Total 9 2 2 3 2 2" xfId="17942" xr:uid="{00000000-0005-0000-0000-0000857F0000}"/>
    <cellStyle name="Total 9 2 2 3 2 2 2" xfId="32774" xr:uid="{00000000-0005-0000-0000-0000867F0000}"/>
    <cellStyle name="Total 9 2 2 3 2 3" xfId="19544" xr:uid="{00000000-0005-0000-0000-0000877F0000}"/>
    <cellStyle name="Total 9 2 2 3 3" xfId="15186" xr:uid="{00000000-0005-0000-0000-0000887F0000}"/>
    <cellStyle name="Total 9 2 2 3 3 2" xfId="30018" xr:uid="{00000000-0005-0000-0000-0000897F0000}"/>
    <cellStyle name="Total 9 2 2 3 4" xfId="11545" xr:uid="{00000000-0005-0000-0000-00008A7F0000}"/>
    <cellStyle name="Total 9 2 2 3 4 2" xfId="26377" xr:uid="{00000000-0005-0000-0000-00008B7F0000}"/>
    <cellStyle name="Total 9 2 2 4" xfId="2852" xr:uid="{00000000-0005-0000-0000-00008C7F0000}"/>
    <cellStyle name="Total 9 2 2 4 2" xfId="6943" xr:uid="{00000000-0005-0000-0000-00008D7F0000}"/>
    <cellStyle name="Total 9 2 2 4 2 2" xfId="16836" xr:uid="{00000000-0005-0000-0000-00008E7F0000}"/>
    <cellStyle name="Total 9 2 2 4 2 2 2" xfId="31668" xr:uid="{00000000-0005-0000-0000-00008F7F0000}"/>
    <cellStyle name="Total 9 2 2 4 2 3" xfId="18835" xr:uid="{00000000-0005-0000-0000-0000907F0000}"/>
    <cellStyle name="Total 9 2 2 4 3" xfId="13190" xr:uid="{00000000-0005-0000-0000-0000917F0000}"/>
    <cellStyle name="Total 9 2 2 4 3 2" xfId="28022" xr:uid="{00000000-0005-0000-0000-0000927F0000}"/>
    <cellStyle name="Total 9 2 2 4 4" xfId="10489" xr:uid="{00000000-0005-0000-0000-0000937F0000}"/>
    <cellStyle name="Total 9 2 2 4 4 2" xfId="25321" xr:uid="{00000000-0005-0000-0000-0000947F0000}"/>
    <cellStyle name="Total 9 2 2 5" xfId="6016" xr:uid="{00000000-0005-0000-0000-0000957F0000}"/>
    <cellStyle name="Total 9 2 2 5 2" xfId="16208" xr:uid="{00000000-0005-0000-0000-0000967F0000}"/>
    <cellStyle name="Total 9 2 2 5 2 2" xfId="31040" xr:uid="{00000000-0005-0000-0000-0000977F0000}"/>
    <cellStyle name="Total 9 2 2 5 3" xfId="18477" xr:uid="{00000000-0005-0000-0000-0000987F0000}"/>
    <cellStyle name="Total 9 2 2 6" xfId="12278" xr:uid="{00000000-0005-0000-0000-0000997F0000}"/>
    <cellStyle name="Total 9 2 2 6 2" xfId="27110" xr:uid="{00000000-0005-0000-0000-00009A7F0000}"/>
    <cellStyle name="Total 9 2 2 7" xfId="9874" xr:uid="{00000000-0005-0000-0000-00009B7F0000}"/>
    <cellStyle name="Total 9 2 2 7 2" xfId="24800" xr:uid="{00000000-0005-0000-0000-00009C7F0000}"/>
    <cellStyle name="Total 9 2 3" xfId="3461" xr:uid="{00000000-0005-0000-0000-00009D7F0000}"/>
    <cellStyle name="Total 9 2 3 2" xfId="7524" xr:uid="{00000000-0005-0000-0000-00009E7F0000}"/>
    <cellStyle name="Total 9 2 3 2 2" xfId="17200" xr:uid="{00000000-0005-0000-0000-00009F7F0000}"/>
    <cellStyle name="Total 9 2 3 2 2 2" xfId="32032" xr:uid="{00000000-0005-0000-0000-0000A07F0000}"/>
    <cellStyle name="Total 9 2 3 2 3" xfId="19042" xr:uid="{00000000-0005-0000-0000-0000A17F0000}"/>
    <cellStyle name="Total 9 2 3 3" xfId="13798" xr:uid="{00000000-0005-0000-0000-0000A27F0000}"/>
    <cellStyle name="Total 9 2 3 3 2" xfId="28630" xr:uid="{00000000-0005-0000-0000-0000A37F0000}"/>
    <cellStyle name="Total 9 2 3 4" xfId="10819" xr:uid="{00000000-0005-0000-0000-0000A47F0000}"/>
    <cellStyle name="Total 9 2 3 4 2" xfId="25651" xr:uid="{00000000-0005-0000-0000-0000A57F0000}"/>
    <cellStyle name="Total 9 2 4" xfId="4442" xr:uid="{00000000-0005-0000-0000-0000A67F0000}"/>
    <cellStyle name="Total 9 2 4 2" xfId="8481" xr:uid="{00000000-0005-0000-0000-0000A77F0000}"/>
    <cellStyle name="Total 9 2 4 2 2" xfId="17702" xr:uid="{00000000-0005-0000-0000-0000A87F0000}"/>
    <cellStyle name="Total 9 2 4 2 2 2" xfId="32534" xr:uid="{00000000-0005-0000-0000-0000A97F0000}"/>
    <cellStyle name="Total 9 2 4 2 3" xfId="19384" xr:uid="{00000000-0005-0000-0000-0000AA7F0000}"/>
    <cellStyle name="Total 9 2 4 3" xfId="14771" xr:uid="{00000000-0005-0000-0000-0000AB7F0000}"/>
    <cellStyle name="Total 9 2 4 3 2" xfId="29603" xr:uid="{00000000-0005-0000-0000-0000AC7F0000}"/>
    <cellStyle name="Total 9 2 4 4" xfId="11310" xr:uid="{00000000-0005-0000-0000-0000AD7F0000}"/>
    <cellStyle name="Total 9 2 4 4 2" xfId="26142" xr:uid="{00000000-0005-0000-0000-0000AE7F0000}"/>
    <cellStyle name="Total 9 2 5" xfId="2432" xr:uid="{00000000-0005-0000-0000-0000AF7F0000}"/>
    <cellStyle name="Total 9 2 5 2" xfId="6544" xr:uid="{00000000-0005-0000-0000-0000B07F0000}"/>
    <cellStyle name="Total 9 2 5 2 2" xfId="16600" xr:uid="{00000000-0005-0000-0000-0000B17F0000}"/>
    <cellStyle name="Total 9 2 5 2 2 2" xfId="31432" xr:uid="{00000000-0005-0000-0000-0000B27F0000}"/>
    <cellStyle name="Total 9 2 5 2 3" xfId="18672" xr:uid="{00000000-0005-0000-0000-0000B37F0000}"/>
    <cellStyle name="Total 9 2 5 3" xfId="12771" xr:uid="{00000000-0005-0000-0000-0000B47F0000}"/>
    <cellStyle name="Total 9 2 5 3 2" xfId="27603" xr:uid="{00000000-0005-0000-0000-0000B57F0000}"/>
    <cellStyle name="Total 9 2 5 4" xfId="10250" xr:uid="{00000000-0005-0000-0000-0000B67F0000}"/>
    <cellStyle name="Total 9 2 5 4 2" xfId="25082" xr:uid="{00000000-0005-0000-0000-0000B77F0000}"/>
    <cellStyle name="Total 9 2 6" xfId="5557" xr:uid="{00000000-0005-0000-0000-0000B87F0000}"/>
    <cellStyle name="Total 9 2 6 2" xfId="15792" xr:uid="{00000000-0005-0000-0000-0000B97F0000}"/>
    <cellStyle name="Total 9 2 6 2 2" xfId="30624" xr:uid="{00000000-0005-0000-0000-0000BA7F0000}"/>
    <cellStyle name="Total 9 2 6 3" xfId="18314" xr:uid="{00000000-0005-0000-0000-0000BB7F0000}"/>
    <cellStyle name="Total 9 2 7" xfId="11807" xr:uid="{00000000-0005-0000-0000-0000BC7F0000}"/>
    <cellStyle name="Total 9 2 7 2" xfId="26639" xr:uid="{00000000-0005-0000-0000-0000BD7F0000}"/>
    <cellStyle name="Total 9 2 8" xfId="9478" xr:uid="{00000000-0005-0000-0000-0000BE7F0000}"/>
    <cellStyle name="Total 9 2 8 2" xfId="19782" xr:uid="{00000000-0005-0000-0000-0000BF7F0000}"/>
    <cellStyle name="Total 9 3" xfId="1552" xr:uid="{00000000-0005-0000-0000-0000C07F0000}"/>
    <cellStyle name="Total 9 3 2" xfId="2049" xr:uid="{00000000-0005-0000-0000-0000C17F0000}"/>
    <cellStyle name="Total 9 3 2 2" xfId="3393" xr:uid="{00000000-0005-0000-0000-0000C27F0000}"/>
    <cellStyle name="Total 9 3 2 2 2" xfId="7456" xr:uid="{00000000-0005-0000-0000-0000C37F0000}"/>
    <cellStyle name="Total 9 3 2 2 2 2" xfId="17159" xr:uid="{00000000-0005-0000-0000-0000C47F0000}"/>
    <cellStyle name="Total 9 3 2 2 2 2 2" xfId="31991" xr:uid="{00000000-0005-0000-0000-0000C57F0000}"/>
    <cellStyle name="Total 9 3 2 2 2 3" xfId="19021" xr:uid="{00000000-0005-0000-0000-0000C67F0000}"/>
    <cellStyle name="Total 9 3 2 2 3" xfId="13730" xr:uid="{00000000-0005-0000-0000-0000C77F0000}"/>
    <cellStyle name="Total 9 3 2 2 3 2" xfId="28562" xr:uid="{00000000-0005-0000-0000-0000C87F0000}"/>
    <cellStyle name="Total 9 3 2 2 4" xfId="10778" xr:uid="{00000000-0005-0000-0000-0000C97F0000}"/>
    <cellStyle name="Total 9 3 2 2 4 2" xfId="25610" xr:uid="{00000000-0005-0000-0000-0000CA7F0000}"/>
    <cellStyle name="Total 9 3 2 3" xfId="5017" xr:uid="{00000000-0005-0000-0000-0000CB7F0000}"/>
    <cellStyle name="Total 9 3 2 3 2" xfId="9056" xr:uid="{00000000-0005-0000-0000-0000CC7F0000}"/>
    <cellStyle name="Total 9 3 2 3 2 2" xfId="17994" xr:uid="{00000000-0005-0000-0000-0000CD7F0000}"/>
    <cellStyle name="Total 9 3 2 3 2 2 2" xfId="32826" xr:uid="{00000000-0005-0000-0000-0000CE7F0000}"/>
    <cellStyle name="Total 9 3 2 3 2 3" xfId="19576" xr:uid="{00000000-0005-0000-0000-0000CF7F0000}"/>
    <cellStyle name="Total 9 3 2 3 3" xfId="15339" xr:uid="{00000000-0005-0000-0000-0000D07F0000}"/>
    <cellStyle name="Total 9 3 2 3 3 2" xfId="30171" xr:uid="{00000000-0005-0000-0000-0000D17F0000}"/>
    <cellStyle name="Total 9 3 2 3 4" xfId="11595" xr:uid="{00000000-0005-0000-0000-0000D27F0000}"/>
    <cellStyle name="Total 9 3 2 3 4 2" xfId="26427" xr:uid="{00000000-0005-0000-0000-0000D37F0000}"/>
    <cellStyle name="Total 9 3 2 4" xfId="3007" xr:uid="{00000000-0005-0000-0000-0000D47F0000}"/>
    <cellStyle name="Total 9 3 2 4 2" xfId="7087" xr:uid="{00000000-0005-0000-0000-0000D57F0000}"/>
    <cellStyle name="Total 9 3 2 4 2 2" xfId="16886" xr:uid="{00000000-0005-0000-0000-0000D67F0000}"/>
    <cellStyle name="Total 9 3 2 4 2 2 2" xfId="31718" xr:uid="{00000000-0005-0000-0000-0000D77F0000}"/>
    <cellStyle name="Total 9 3 2 4 2 3" xfId="18868" xr:uid="{00000000-0005-0000-0000-0000D87F0000}"/>
    <cellStyle name="Total 9 3 2 4 3" xfId="13345" xr:uid="{00000000-0005-0000-0000-0000D97F0000}"/>
    <cellStyle name="Total 9 3 2 4 3 2" xfId="28177" xr:uid="{00000000-0005-0000-0000-0000DA7F0000}"/>
    <cellStyle name="Total 9 3 2 4 4" xfId="10541" xr:uid="{00000000-0005-0000-0000-0000DB7F0000}"/>
    <cellStyle name="Total 9 3 2 4 4 2" xfId="25373" xr:uid="{00000000-0005-0000-0000-0000DC7F0000}"/>
    <cellStyle name="Total 9 3 2 5" xfId="6179" xr:uid="{00000000-0005-0000-0000-0000DD7F0000}"/>
    <cellStyle name="Total 9 3 2 5 2" xfId="16366" xr:uid="{00000000-0005-0000-0000-0000DE7F0000}"/>
    <cellStyle name="Total 9 3 2 5 2 2" xfId="31198" xr:uid="{00000000-0005-0000-0000-0000DF7F0000}"/>
    <cellStyle name="Total 9 3 2 5 3" xfId="18509" xr:uid="{00000000-0005-0000-0000-0000E07F0000}"/>
    <cellStyle name="Total 9 3 2 6" xfId="12436" xr:uid="{00000000-0005-0000-0000-0000E17F0000}"/>
    <cellStyle name="Total 9 3 2 6 2" xfId="27268" xr:uid="{00000000-0005-0000-0000-0000E27F0000}"/>
    <cellStyle name="Total 9 3 2 7" xfId="10018" xr:uid="{00000000-0005-0000-0000-0000E37F0000}"/>
    <cellStyle name="Total 9 3 2 7 2" xfId="24850" xr:uid="{00000000-0005-0000-0000-0000E47F0000}"/>
    <cellStyle name="Total 9 3 3" xfId="4304" xr:uid="{00000000-0005-0000-0000-0000E57F0000}"/>
    <cellStyle name="Total 9 3 3 2" xfId="8343" xr:uid="{00000000-0005-0000-0000-0000E67F0000}"/>
    <cellStyle name="Total 9 3 3 2 2" xfId="17622" xr:uid="{00000000-0005-0000-0000-0000E77F0000}"/>
    <cellStyle name="Total 9 3 3 2 2 2" xfId="32454" xr:uid="{00000000-0005-0000-0000-0000E87F0000}"/>
    <cellStyle name="Total 9 3 3 2 3" xfId="19328" xr:uid="{00000000-0005-0000-0000-0000E97F0000}"/>
    <cellStyle name="Total 9 3 3 3" xfId="14635" xr:uid="{00000000-0005-0000-0000-0000EA7F0000}"/>
    <cellStyle name="Total 9 3 3 3 2" xfId="29467" xr:uid="{00000000-0005-0000-0000-0000EB7F0000}"/>
    <cellStyle name="Total 9 3 3 4" xfId="11234" xr:uid="{00000000-0005-0000-0000-0000EC7F0000}"/>
    <cellStyle name="Total 9 3 3 4 2" xfId="26066" xr:uid="{00000000-0005-0000-0000-0000ED7F0000}"/>
    <cellStyle name="Total 9 3 4" xfId="4597" xr:uid="{00000000-0005-0000-0000-0000EE7F0000}"/>
    <cellStyle name="Total 9 3 4 2" xfId="8636" xr:uid="{00000000-0005-0000-0000-0000EF7F0000}"/>
    <cellStyle name="Total 9 3 4 2 2" xfId="17754" xr:uid="{00000000-0005-0000-0000-0000F07F0000}"/>
    <cellStyle name="Total 9 3 4 2 2 2" xfId="32586" xr:uid="{00000000-0005-0000-0000-0000F17F0000}"/>
    <cellStyle name="Total 9 3 4 2 3" xfId="19416" xr:uid="{00000000-0005-0000-0000-0000F27F0000}"/>
    <cellStyle name="Total 9 3 4 3" xfId="14924" xr:uid="{00000000-0005-0000-0000-0000F37F0000}"/>
    <cellStyle name="Total 9 3 4 3 2" xfId="29756" xr:uid="{00000000-0005-0000-0000-0000F47F0000}"/>
    <cellStyle name="Total 9 3 4 4" xfId="11360" xr:uid="{00000000-0005-0000-0000-0000F57F0000}"/>
    <cellStyle name="Total 9 3 4 4 2" xfId="26192" xr:uid="{00000000-0005-0000-0000-0000F67F0000}"/>
    <cellStyle name="Total 9 3 5" xfId="2587" xr:uid="{00000000-0005-0000-0000-0000F77F0000}"/>
    <cellStyle name="Total 9 3 5 2" xfId="6693" xr:uid="{00000000-0005-0000-0000-0000F87F0000}"/>
    <cellStyle name="Total 9 3 5 2 2" xfId="16651" xr:uid="{00000000-0005-0000-0000-0000F97F0000}"/>
    <cellStyle name="Total 9 3 5 2 2 2" xfId="31483" xr:uid="{00000000-0005-0000-0000-0000FA7F0000}"/>
    <cellStyle name="Total 9 3 5 2 3" xfId="18704" xr:uid="{00000000-0005-0000-0000-0000FB7F0000}"/>
    <cellStyle name="Total 9 3 5 3" xfId="12925" xr:uid="{00000000-0005-0000-0000-0000FC7F0000}"/>
    <cellStyle name="Total 9 3 5 3 2" xfId="27757" xr:uid="{00000000-0005-0000-0000-0000FD7F0000}"/>
    <cellStyle name="Total 9 3 5 4" xfId="10301" xr:uid="{00000000-0005-0000-0000-0000FE7F0000}"/>
    <cellStyle name="Total 9 3 5 4 2" xfId="25133" xr:uid="{00000000-0005-0000-0000-0000FF7F0000}"/>
    <cellStyle name="Total 9 3 6" xfId="5710" xr:uid="{00000000-0005-0000-0000-000000800000}"/>
    <cellStyle name="Total 9 3 6 2" xfId="15945" xr:uid="{00000000-0005-0000-0000-000001800000}"/>
    <cellStyle name="Total 9 3 6 2 2" xfId="30777" xr:uid="{00000000-0005-0000-0000-000002800000}"/>
    <cellStyle name="Total 9 3 6 3" xfId="18346" xr:uid="{00000000-0005-0000-0000-000003800000}"/>
    <cellStyle name="Total 9 3 7" xfId="11965" xr:uid="{00000000-0005-0000-0000-000004800000}"/>
    <cellStyle name="Total 9 3 7 2" xfId="26797" xr:uid="{00000000-0005-0000-0000-000005800000}"/>
    <cellStyle name="Total 9 3 8" xfId="9623" xr:uid="{00000000-0005-0000-0000-000006800000}"/>
    <cellStyle name="Total 9 3 8 2" xfId="19925" xr:uid="{00000000-0005-0000-0000-000007800000}"/>
    <cellStyle name="Total 9 4" xfId="1605" xr:uid="{00000000-0005-0000-0000-000008800000}"/>
    <cellStyle name="Total 9 4 2" xfId="2102" xr:uid="{00000000-0005-0000-0000-000009800000}"/>
    <cellStyle name="Total 9 4 2 2" xfId="3439" xr:uid="{00000000-0005-0000-0000-00000A800000}"/>
    <cellStyle name="Total 9 4 2 2 2" xfId="7502" xr:uid="{00000000-0005-0000-0000-00000B800000}"/>
    <cellStyle name="Total 9 4 2 2 2 2" xfId="17190" xr:uid="{00000000-0005-0000-0000-00000C800000}"/>
    <cellStyle name="Total 9 4 2 2 2 2 2" xfId="32022" xr:uid="{00000000-0005-0000-0000-00000D800000}"/>
    <cellStyle name="Total 9 4 2 2 2 3" xfId="19036" xr:uid="{00000000-0005-0000-0000-00000E800000}"/>
    <cellStyle name="Total 9 4 2 2 3" xfId="13776" xr:uid="{00000000-0005-0000-0000-00000F800000}"/>
    <cellStyle name="Total 9 4 2 2 3 2" xfId="28608" xr:uid="{00000000-0005-0000-0000-000010800000}"/>
    <cellStyle name="Total 9 4 2 2 4" xfId="10809" xr:uid="{00000000-0005-0000-0000-000011800000}"/>
    <cellStyle name="Total 9 4 2 2 4 2" xfId="25641" xr:uid="{00000000-0005-0000-0000-000012800000}"/>
    <cellStyle name="Total 9 4 2 3" xfId="5070" xr:uid="{00000000-0005-0000-0000-000013800000}"/>
    <cellStyle name="Total 9 4 2 3 2" xfId="9109" xr:uid="{00000000-0005-0000-0000-000014800000}"/>
    <cellStyle name="Total 9 4 2 3 2 2" xfId="18042" xr:uid="{00000000-0005-0000-0000-000015800000}"/>
    <cellStyle name="Total 9 4 2 3 2 2 2" xfId="32874" xr:uid="{00000000-0005-0000-0000-000016800000}"/>
    <cellStyle name="Total 9 4 2 3 2 3" xfId="19608" xr:uid="{00000000-0005-0000-0000-000017800000}"/>
    <cellStyle name="Total 9 4 2 3 3" xfId="15391" xr:uid="{00000000-0005-0000-0000-000018800000}"/>
    <cellStyle name="Total 9 4 2 3 3 2" xfId="30223" xr:uid="{00000000-0005-0000-0000-000019800000}"/>
    <cellStyle name="Total 9 4 2 3 4" xfId="11642" xr:uid="{00000000-0005-0000-0000-00001A800000}"/>
    <cellStyle name="Total 9 4 2 3 4 2" xfId="26474" xr:uid="{00000000-0005-0000-0000-00001B800000}"/>
    <cellStyle name="Total 9 4 2 4" xfId="3060" xr:uid="{00000000-0005-0000-0000-00001C800000}"/>
    <cellStyle name="Total 9 4 2 4 2" xfId="7135" xr:uid="{00000000-0005-0000-0000-00001D800000}"/>
    <cellStyle name="Total 9 4 2 4 2 2" xfId="16933" xr:uid="{00000000-0005-0000-0000-00001E800000}"/>
    <cellStyle name="Total 9 4 2 4 2 2 2" xfId="31765" xr:uid="{00000000-0005-0000-0000-00001F800000}"/>
    <cellStyle name="Total 9 4 2 4 2 3" xfId="18901" xr:uid="{00000000-0005-0000-0000-000020800000}"/>
    <cellStyle name="Total 9 4 2 4 3" xfId="13398" xr:uid="{00000000-0005-0000-0000-000021800000}"/>
    <cellStyle name="Total 9 4 2 4 3 2" xfId="28230" xr:uid="{00000000-0005-0000-0000-000022800000}"/>
    <cellStyle name="Total 9 4 2 4 4" xfId="10589" xr:uid="{00000000-0005-0000-0000-000023800000}"/>
    <cellStyle name="Total 9 4 2 4 4 2" xfId="25421" xr:uid="{00000000-0005-0000-0000-000024800000}"/>
    <cellStyle name="Total 9 4 2 5" xfId="6227" xr:uid="{00000000-0005-0000-0000-000025800000}"/>
    <cellStyle name="Total 9 4 2 5 2" xfId="16413" xr:uid="{00000000-0005-0000-0000-000026800000}"/>
    <cellStyle name="Total 9 4 2 5 2 2" xfId="31245" xr:uid="{00000000-0005-0000-0000-000027800000}"/>
    <cellStyle name="Total 9 4 2 5 3" xfId="18542" xr:uid="{00000000-0005-0000-0000-000028800000}"/>
    <cellStyle name="Total 9 4 2 6" xfId="12483" xr:uid="{00000000-0005-0000-0000-000029800000}"/>
    <cellStyle name="Total 9 4 2 6 2" xfId="27315" xr:uid="{00000000-0005-0000-0000-00002A800000}"/>
    <cellStyle name="Total 9 4 2 7" xfId="10065" xr:uid="{00000000-0005-0000-0000-00002B800000}"/>
    <cellStyle name="Total 9 4 2 7 2" xfId="24897" xr:uid="{00000000-0005-0000-0000-00002C800000}"/>
    <cellStyle name="Total 9 4 3" xfId="4323" xr:uid="{00000000-0005-0000-0000-00002D800000}"/>
    <cellStyle name="Total 9 4 3 2" xfId="8362" xr:uid="{00000000-0005-0000-0000-00002E800000}"/>
    <cellStyle name="Total 9 4 3 2 2" xfId="17640" xr:uid="{00000000-0005-0000-0000-00002F800000}"/>
    <cellStyle name="Total 9 4 3 2 2 2" xfId="32472" xr:uid="{00000000-0005-0000-0000-000030800000}"/>
    <cellStyle name="Total 9 4 3 2 3" xfId="19342" xr:uid="{00000000-0005-0000-0000-000031800000}"/>
    <cellStyle name="Total 9 4 3 3" xfId="14654" xr:uid="{00000000-0005-0000-0000-000032800000}"/>
    <cellStyle name="Total 9 4 3 3 2" xfId="29486" xr:uid="{00000000-0005-0000-0000-000033800000}"/>
    <cellStyle name="Total 9 4 3 4" xfId="11250" xr:uid="{00000000-0005-0000-0000-000034800000}"/>
    <cellStyle name="Total 9 4 3 4 2" xfId="26082" xr:uid="{00000000-0005-0000-0000-000035800000}"/>
    <cellStyle name="Total 9 4 4" xfId="4650" xr:uid="{00000000-0005-0000-0000-000036800000}"/>
    <cellStyle name="Total 9 4 4 2" xfId="8689" xr:uid="{00000000-0005-0000-0000-000037800000}"/>
    <cellStyle name="Total 9 4 4 2 2" xfId="17802" xr:uid="{00000000-0005-0000-0000-000038800000}"/>
    <cellStyle name="Total 9 4 4 2 2 2" xfId="32634" xr:uid="{00000000-0005-0000-0000-000039800000}"/>
    <cellStyle name="Total 9 4 4 2 3" xfId="19448" xr:uid="{00000000-0005-0000-0000-00003A800000}"/>
    <cellStyle name="Total 9 4 4 3" xfId="14976" xr:uid="{00000000-0005-0000-0000-00003B800000}"/>
    <cellStyle name="Total 9 4 4 3 2" xfId="29808" xr:uid="{00000000-0005-0000-0000-00003C800000}"/>
    <cellStyle name="Total 9 4 4 4" xfId="11407" xr:uid="{00000000-0005-0000-0000-00003D800000}"/>
    <cellStyle name="Total 9 4 4 4 2" xfId="26239" xr:uid="{00000000-0005-0000-0000-00003E800000}"/>
    <cellStyle name="Total 9 4 5" xfId="2640" xr:uid="{00000000-0005-0000-0000-00003F800000}"/>
    <cellStyle name="Total 9 4 5 2" xfId="6741" xr:uid="{00000000-0005-0000-0000-000040800000}"/>
    <cellStyle name="Total 9 4 5 2 2" xfId="16698" xr:uid="{00000000-0005-0000-0000-000041800000}"/>
    <cellStyle name="Total 9 4 5 2 2 2" xfId="31530" xr:uid="{00000000-0005-0000-0000-000042800000}"/>
    <cellStyle name="Total 9 4 5 2 3" xfId="18737" xr:uid="{00000000-0005-0000-0000-000043800000}"/>
    <cellStyle name="Total 9 4 5 3" xfId="12978" xr:uid="{00000000-0005-0000-0000-000044800000}"/>
    <cellStyle name="Total 9 4 5 3 2" xfId="27810" xr:uid="{00000000-0005-0000-0000-000045800000}"/>
    <cellStyle name="Total 9 4 5 4" xfId="10349" xr:uid="{00000000-0005-0000-0000-000046800000}"/>
    <cellStyle name="Total 9 4 5 4 2" xfId="25181" xr:uid="{00000000-0005-0000-0000-000047800000}"/>
    <cellStyle name="Total 9 4 6" xfId="5757" xr:uid="{00000000-0005-0000-0000-000048800000}"/>
    <cellStyle name="Total 9 4 6 2" xfId="15992" xr:uid="{00000000-0005-0000-0000-000049800000}"/>
    <cellStyle name="Total 9 4 6 2 2" xfId="30824" xr:uid="{00000000-0005-0000-0000-00004A800000}"/>
    <cellStyle name="Total 9 4 6 3" xfId="18378" xr:uid="{00000000-0005-0000-0000-00004B800000}"/>
    <cellStyle name="Total 9 4 7" xfId="12012" xr:uid="{00000000-0005-0000-0000-00004C800000}"/>
    <cellStyle name="Total 9 4 7 2" xfId="26844" xr:uid="{00000000-0005-0000-0000-00004D800000}"/>
    <cellStyle name="Total 9 4 8" xfId="9671" xr:uid="{00000000-0005-0000-0000-00004E800000}"/>
    <cellStyle name="Total 9 4 8 2" xfId="19972" xr:uid="{00000000-0005-0000-0000-00004F800000}"/>
    <cellStyle name="Total 9 5" xfId="1655" xr:uid="{00000000-0005-0000-0000-000050800000}"/>
    <cellStyle name="Total 9 5 2" xfId="2152" xr:uid="{00000000-0005-0000-0000-000051800000}"/>
    <cellStyle name="Total 9 5 2 2" xfId="3537" xr:uid="{00000000-0005-0000-0000-000052800000}"/>
    <cellStyle name="Total 9 5 2 2 2" xfId="7599" xr:uid="{00000000-0005-0000-0000-000053800000}"/>
    <cellStyle name="Total 9 5 2 2 2 2" xfId="17243" xr:uid="{00000000-0005-0000-0000-000054800000}"/>
    <cellStyle name="Total 9 5 2 2 2 2 2" xfId="32075" xr:uid="{00000000-0005-0000-0000-000055800000}"/>
    <cellStyle name="Total 9 5 2 2 2 3" xfId="19070" xr:uid="{00000000-0005-0000-0000-000056800000}"/>
    <cellStyle name="Total 9 5 2 2 3" xfId="13874" xr:uid="{00000000-0005-0000-0000-000057800000}"/>
    <cellStyle name="Total 9 5 2 2 3 2" xfId="28706" xr:uid="{00000000-0005-0000-0000-000058800000}"/>
    <cellStyle name="Total 9 5 2 2 4" xfId="10861" xr:uid="{00000000-0005-0000-0000-000059800000}"/>
    <cellStyle name="Total 9 5 2 2 4 2" xfId="25693" xr:uid="{00000000-0005-0000-0000-00005A800000}"/>
    <cellStyle name="Total 9 5 2 3" xfId="5120" xr:uid="{00000000-0005-0000-0000-00005B800000}"/>
    <cellStyle name="Total 9 5 2 3 2" xfId="9159" xr:uid="{00000000-0005-0000-0000-00005C800000}"/>
    <cellStyle name="Total 9 5 2 3 2 2" xfId="18087" xr:uid="{00000000-0005-0000-0000-00005D800000}"/>
    <cellStyle name="Total 9 5 2 3 2 2 2" xfId="32919" xr:uid="{00000000-0005-0000-0000-00005E800000}"/>
    <cellStyle name="Total 9 5 2 3 2 3" xfId="19640" xr:uid="{00000000-0005-0000-0000-00005F800000}"/>
    <cellStyle name="Total 9 5 2 3 3" xfId="15440" xr:uid="{00000000-0005-0000-0000-000060800000}"/>
    <cellStyle name="Total 9 5 2 3 3 2" xfId="30272" xr:uid="{00000000-0005-0000-0000-000061800000}"/>
    <cellStyle name="Total 9 5 2 3 4" xfId="11686" xr:uid="{00000000-0005-0000-0000-000062800000}"/>
    <cellStyle name="Total 9 5 2 3 4 2" xfId="26518" xr:uid="{00000000-0005-0000-0000-000063800000}"/>
    <cellStyle name="Total 9 5 2 4" xfId="3110" xr:uid="{00000000-0005-0000-0000-000064800000}"/>
    <cellStyle name="Total 9 5 2 4 2" xfId="7180" xr:uid="{00000000-0005-0000-0000-000065800000}"/>
    <cellStyle name="Total 9 5 2 4 2 2" xfId="16977" xr:uid="{00000000-0005-0000-0000-000066800000}"/>
    <cellStyle name="Total 9 5 2 4 2 2 2" xfId="31809" xr:uid="{00000000-0005-0000-0000-000067800000}"/>
    <cellStyle name="Total 9 5 2 4 2 3" xfId="18934" xr:uid="{00000000-0005-0000-0000-000068800000}"/>
    <cellStyle name="Total 9 5 2 4 3" xfId="13448" xr:uid="{00000000-0005-0000-0000-000069800000}"/>
    <cellStyle name="Total 9 5 2 4 3 2" xfId="28280" xr:uid="{00000000-0005-0000-0000-00006A800000}"/>
    <cellStyle name="Total 9 5 2 4 4" xfId="10634" xr:uid="{00000000-0005-0000-0000-00006B800000}"/>
    <cellStyle name="Total 9 5 2 4 4 2" xfId="25466" xr:uid="{00000000-0005-0000-0000-00006C800000}"/>
    <cellStyle name="Total 9 5 2 5" xfId="6272" xr:uid="{00000000-0005-0000-0000-00006D800000}"/>
    <cellStyle name="Total 9 5 2 5 2" xfId="16457" xr:uid="{00000000-0005-0000-0000-00006E800000}"/>
    <cellStyle name="Total 9 5 2 5 2 2" xfId="31289" xr:uid="{00000000-0005-0000-0000-00006F800000}"/>
    <cellStyle name="Total 9 5 2 5 3" xfId="18575" xr:uid="{00000000-0005-0000-0000-000070800000}"/>
    <cellStyle name="Total 9 5 2 6" xfId="12527" xr:uid="{00000000-0005-0000-0000-000071800000}"/>
    <cellStyle name="Total 9 5 2 6 2" xfId="27359" xr:uid="{00000000-0005-0000-0000-000072800000}"/>
    <cellStyle name="Total 9 5 2 7" xfId="10109" xr:uid="{00000000-0005-0000-0000-000073800000}"/>
    <cellStyle name="Total 9 5 2 7 2" xfId="24941" xr:uid="{00000000-0005-0000-0000-000074800000}"/>
    <cellStyle name="Total 9 5 3" xfId="4103" xr:uid="{00000000-0005-0000-0000-000075800000}"/>
    <cellStyle name="Total 9 5 3 2" xfId="8149" xr:uid="{00000000-0005-0000-0000-000076800000}"/>
    <cellStyle name="Total 9 5 3 2 2" xfId="17520" xr:uid="{00000000-0005-0000-0000-000077800000}"/>
    <cellStyle name="Total 9 5 3 2 2 2" xfId="32352" xr:uid="{00000000-0005-0000-0000-000078800000}"/>
    <cellStyle name="Total 9 5 3 2 3" xfId="19267" xr:uid="{00000000-0005-0000-0000-000079800000}"/>
    <cellStyle name="Total 9 5 3 3" xfId="14435" xr:uid="{00000000-0005-0000-0000-00007A800000}"/>
    <cellStyle name="Total 9 5 3 3 2" xfId="29267" xr:uid="{00000000-0005-0000-0000-00007B800000}"/>
    <cellStyle name="Total 9 5 3 4" xfId="11137" xr:uid="{00000000-0005-0000-0000-00007C800000}"/>
    <cellStyle name="Total 9 5 3 4 2" xfId="25969" xr:uid="{00000000-0005-0000-0000-00007D800000}"/>
    <cellStyle name="Total 9 5 4" xfId="4700" xr:uid="{00000000-0005-0000-0000-00007E800000}"/>
    <cellStyle name="Total 9 5 4 2" xfId="8739" xr:uid="{00000000-0005-0000-0000-00007F800000}"/>
    <cellStyle name="Total 9 5 4 2 2" xfId="17847" xr:uid="{00000000-0005-0000-0000-000080800000}"/>
    <cellStyle name="Total 9 5 4 2 2 2" xfId="32679" xr:uid="{00000000-0005-0000-0000-000081800000}"/>
    <cellStyle name="Total 9 5 4 2 3" xfId="19480" xr:uid="{00000000-0005-0000-0000-000082800000}"/>
    <cellStyle name="Total 9 5 4 3" xfId="15025" xr:uid="{00000000-0005-0000-0000-000083800000}"/>
    <cellStyle name="Total 9 5 4 3 2" xfId="29857" xr:uid="{00000000-0005-0000-0000-000084800000}"/>
    <cellStyle name="Total 9 5 4 4" xfId="11451" xr:uid="{00000000-0005-0000-0000-000085800000}"/>
    <cellStyle name="Total 9 5 4 4 2" xfId="26283" xr:uid="{00000000-0005-0000-0000-000086800000}"/>
    <cellStyle name="Total 9 5 5" xfId="2690" xr:uid="{00000000-0005-0000-0000-000087800000}"/>
    <cellStyle name="Total 9 5 5 2" xfId="6786" xr:uid="{00000000-0005-0000-0000-000088800000}"/>
    <cellStyle name="Total 9 5 5 2 2" xfId="16742" xr:uid="{00000000-0005-0000-0000-000089800000}"/>
    <cellStyle name="Total 9 5 5 2 2 2" xfId="31574" xr:uid="{00000000-0005-0000-0000-00008A800000}"/>
    <cellStyle name="Total 9 5 5 2 3" xfId="18770" xr:uid="{00000000-0005-0000-0000-00008B800000}"/>
    <cellStyle name="Total 9 5 5 3" xfId="13028" xr:uid="{00000000-0005-0000-0000-00008C800000}"/>
    <cellStyle name="Total 9 5 5 3 2" xfId="27860" xr:uid="{00000000-0005-0000-0000-00008D800000}"/>
    <cellStyle name="Total 9 5 5 4" xfId="10394" xr:uid="{00000000-0005-0000-0000-00008E800000}"/>
    <cellStyle name="Total 9 5 5 4 2" xfId="25226" xr:uid="{00000000-0005-0000-0000-00008F800000}"/>
    <cellStyle name="Total 9 5 6" xfId="5802" xr:uid="{00000000-0005-0000-0000-000090800000}"/>
    <cellStyle name="Total 9 5 6 2" xfId="16036" xr:uid="{00000000-0005-0000-0000-000091800000}"/>
    <cellStyle name="Total 9 5 6 2 2" xfId="30868" xr:uid="{00000000-0005-0000-0000-000092800000}"/>
    <cellStyle name="Total 9 5 6 3" xfId="18411" xr:uid="{00000000-0005-0000-0000-000093800000}"/>
    <cellStyle name="Total 9 5 7" xfId="12056" xr:uid="{00000000-0005-0000-0000-000094800000}"/>
    <cellStyle name="Total 9 5 7 2" xfId="26888" xr:uid="{00000000-0005-0000-0000-000095800000}"/>
    <cellStyle name="Total 9 5 8" xfId="9716" xr:uid="{00000000-0005-0000-0000-000096800000}"/>
    <cellStyle name="Total 9 5 8 2" xfId="20016" xr:uid="{00000000-0005-0000-0000-000097800000}"/>
    <cellStyle name="Total 9 6" xfId="1806" xr:uid="{00000000-0005-0000-0000-000098800000}"/>
    <cellStyle name="Total 9 6 2" xfId="3759" xr:uid="{00000000-0005-0000-0000-000099800000}"/>
    <cellStyle name="Total 9 6 2 2" xfId="7815" xr:uid="{00000000-0005-0000-0000-00009A800000}"/>
    <cellStyle name="Total 9 6 2 2 2" xfId="17351" xr:uid="{00000000-0005-0000-0000-00009B800000}"/>
    <cellStyle name="Total 9 6 2 2 2 2" xfId="32183" xr:uid="{00000000-0005-0000-0000-00009C800000}"/>
    <cellStyle name="Total 9 6 2 2 3" xfId="19145" xr:uid="{00000000-0005-0000-0000-00009D800000}"/>
    <cellStyle name="Total 9 6 2 3" xfId="14094" xr:uid="{00000000-0005-0000-0000-00009E800000}"/>
    <cellStyle name="Total 9 6 2 3 2" xfId="28926" xr:uid="{00000000-0005-0000-0000-00009F800000}"/>
    <cellStyle name="Total 9 6 2 4" xfId="10967" xr:uid="{00000000-0005-0000-0000-0000A0800000}"/>
    <cellStyle name="Total 9 6 2 4 2" xfId="25799" xr:uid="{00000000-0005-0000-0000-0000A1800000}"/>
    <cellStyle name="Total 9 6 3" xfId="4784" xr:uid="{00000000-0005-0000-0000-0000A2800000}"/>
    <cellStyle name="Total 9 6 3 2" xfId="8823" xr:uid="{00000000-0005-0000-0000-0000A3800000}"/>
    <cellStyle name="Total 9 6 3 2 2" xfId="17895" xr:uid="{00000000-0005-0000-0000-0000A4800000}"/>
    <cellStyle name="Total 9 6 3 2 2 2" xfId="32727" xr:uid="{00000000-0005-0000-0000-0000A5800000}"/>
    <cellStyle name="Total 9 6 3 2 3" xfId="19512" xr:uid="{00000000-0005-0000-0000-0000A6800000}"/>
    <cellStyle name="Total 9 6 3 3" xfId="15108" xr:uid="{00000000-0005-0000-0000-0000A7800000}"/>
    <cellStyle name="Total 9 6 3 3 2" xfId="29940" xr:uid="{00000000-0005-0000-0000-0000A8800000}"/>
    <cellStyle name="Total 9 6 3 4" xfId="11498" xr:uid="{00000000-0005-0000-0000-0000A9800000}"/>
    <cellStyle name="Total 9 6 3 4 2" xfId="26330" xr:uid="{00000000-0005-0000-0000-0000AA800000}"/>
    <cellStyle name="Total 9 6 4" xfId="2774" xr:uid="{00000000-0005-0000-0000-0000AB800000}"/>
    <cellStyle name="Total 9 6 4 2" xfId="6865" xr:uid="{00000000-0005-0000-0000-0000AC800000}"/>
    <cellStyle name="Total 9 6 4 2 2" xfId="16789" xr:uid="{00000000-0005-0000-0000-0000AD800000}"/>
    <cellStyle name="Total 9 6 4 2 2 2" xfId="31621" xr:uid="{00000000-0005-0000-0000-0000AE800000}"/>
    <cellStyle name="Total 9 6 4 2 3" xfId="18803" xr:uid="{00000000-0005-0000-0000-0000AF800000}"/>
    <cellStyle name="Total 9 6 4 3" xfId="13112" xr:uid="{00000000-0005-0000-0000-0000B0800000}"/>
    <cellStyle name="Total 9 6 4 3 2" xfId="27944" xr:uid="{00000000-0005-0000-0000-0000B1800000}"/>
    <cellStyle name="Total 9 6 4 4" xfId="10442" xr:uid="{00000000-0005-0000-0000-0000B2800000}"/>
    <cellStyle name="Total 9 6 4 4 2" xfId="25274" xr:uid="{00000000-0005-0000-0000-0000B3800000}"/>
    <cellStyle name="Total 9 6 5" xfId="5938" xr:uid="{00000000-0005-0000-0000-0000B4800000}"/>
    <cellStyle name="Total 9 6 5 2" xfId="16130" xr:uid="{00000000-0005-0000-0000-0000B5800000}"/>
    <cellStyle name="Total 9 6 5 2 2" xfId="30962" xr:uid="{00000000-0005-0000-0000-0000B6800000}"/>
    <cellStyle name="Total 9 6 5 3" xfId="18445" xr:uid="{00000000-0005-0000-0000-0000B7800000}"/>
    <cellStyle name="Total 9 6 6" xfId="12200" xr:uid="{00000000-0005-0000-0000-0000B8800000}"/>
    <cellStyle name="Total 9 6 6 2" xfId="27032" xr:uid="{00000000-0005-0000-0000-0000B9800000}"/>
    <cellStyle name="Total 9 6 7" xfId="9796" xr:uid="{00000000-0005-0000-0000-0000BA800000}"/>
    <cellStyle name="Total 9 6 7 2" xfId="24753" xr:uid="{00000000-0005-0000-0000-0000BB800000}"/>
    <cellStyle name="Total 9 7" xfId="2160" xr:uid="{00000000-0005-0000-0000-0000BC800000}"/>
    <cellStyle name="Total 9 7 2" xfId="3959" xr:uid="{00000000-0005-0000-0000-0000BD800000}"/>
    <cellStyle name="Total 9 7 2 2" xfId="8009" xr:uid="{00000000-0005-0000-0000-0000BE800000}"/>
    <cellStyle name="Total 9 7 2 2 2" xfId="17450" xr:uid="{00000000-0005-0000-0000-0000BF800000}"/>
    <cellStyle name="Total 9 7 2 2 2 2" xfId="32282" xr:uid="{00000000-0005-0000-0000-0000C0800000}"/>
    <cellStyle name="Total 9 7 2 2 3" xfId="19216" xr:uid="{00000000-0005-0000-0000-0000C1800000}"/>
    <cellStyle name="Total 9 7 2 3" xfId="14292" xr:uid="{00000000-0005-0000-0000-0000C2800000}"/>
    <cellStyle name="Total 9 7 2 3 2" xfId="29124" xr:uid="{00000000-0005-0000-0000-0000C3800000}"/>
    <cellStyle name="Total 9 7 2 4" xfId="11065" xr:uid="{00000000-0005-0000-0000-0000C4800000}"/>
    <cellStyle name="Total 9 7 2 4 2" xfId="25897" xr:uid="{00000000-0005-0000-0000-0000C5800000}"/>
    <cellStyle name="Total 9 7 3" xfId="5128" xr:uid="{00000000-0005-0000-0000-0000C6800000}"/>
    <cellStyle name="Total 9 7 3 2" xfId="9167" xr:uid="{00000000-0005-0000-0000-0000C7800000}"/>
    <cellStyle name="Total 9 7 3 2 2" xfId="18090" xr:uid="{00000000-0005-0000-0000-0000C8800000}"/>
    <cellStyle name="Total 9 7 3 2 2 2" xfId="32922" xr:uid="{00000000-0005-0000-0000-0000C9800000}"/>
    <cellStyle name="Total 9 7 3 2 3" xfId="19641" xr:uid="{00000000-0005-0000-0000-0000CA800000}"/>
    <cellStyle name="Total 9 7 3 3" xfId="15446" xr:uid="{00000000-0005-0000-0000-0000CB800000}"/>
    <cellStyle name="Total 9 7 3 3 2" xfId="30278" xr:uid="{00000000-0005-0000-0000-0000CC800000}"/>
    <cellStyle name="Total 9 7 3 4" xfId="11687" xr:uid="{00000000-0005-0000-0000-0000CD800000}"/>
    <cellStyle name="Total 9 7 3 4 2" xfId="26519" xr:uid="{00000000-0005-0000-0000-0000CE800000}"/>
    <cellStyle name="Total 9 7 4" xfId="4158" xr:uid="{00000000-0005-0000-0000-0000CF800000}"/>
    <cellStyle name="Total 9 7 4 2" xfId="8199" xr:uid="{00000000-0005-0000-0000-0000D0800000}"/>
    <cellStyle name="Total 9 7 4 2 2" xfId="17546" xr:uid="{00000000-0005-0000-0000-0000D1800000}"/>
    <cellStyle name="Total 9 7 4 2 2 2" xfId="32378" xr:uid="{00000000-0005-0000-0000-0000D2800000}"/>
    <cellStyle name="Total 9 7 4 2 3" xfId="19284" xr:uid="{00000000-0005-0000-0000-0000D3800000}"/>
    <cellStyle name="Total 9 7 4 3" xfId="14490" xr:uid="{00000000-0005-0000-0000-0000D4800000}"/>
    <cellStyle name="Total 9 7 4 3 2" xfId="29322" xr:uid="{00000000-0005-0000-0000-0000D5800000}"/>
    <cellStyle name="Total 9 7 4 4" xfId="11166" xr:uid="{00000000-0005-0000-0000-0000D6800000}"/>
    <cellStyle name="Total 9 7 4 4 2" xfId="25998" xr:uid="{00000000-0005-0000-0000-0000D7800000}"/>
    <cellStyle name="Total 9 7 5" xfId="6274" xr:uid="{00000000-0005-0000-0000-0000D8800000}"/>
    <cellStyle name="Total 9 7 5 2" xfId="16458" xr:uid="{00000000-0005-0000-0000-0000D9800000}"/>
    <cellStyle name="Total 9 7 5 2 2" xfId="31290" xr:uid="{00000000-0005-0000-0000-0000DA800000}"/>
    <cellStyle name="Total 9 7 5 3" xfId="18577" xr:uid="{00000000-0005-0000-0000-0000DB800000}"/>
    <cellStyle name="Total 9 7 6" xfId="12528" xr:uid="{00000000-0005-0000-0000-0000DC800000}"/>
    <cellStyle name="Total 9 7 6 2" xfId="27360" xr:uid="{00000000-0005-0000-0000-0000DD800000}"/>
    <cellStyle name="Total 9 7 7" xfId="10110" xr:uid="{00000000-0005-0000-0000-0000DE800000}"/>
    <cellStyle name="Total 9 7 7 2" xfId="24942" xr:uid="{00000000-0005-0000-0000-0000DF800000}"/>
    <cellStyle name="Total 9 8" xfId="3620" xr:uid="{00000000-0005-0000-0000-0000E0800000}"/>
    <cellStyle name="Total 9 8 2" xfId="7680" xr:uid="{00000000-0005-0000-0000-0000E1800000}"/>
    <cellStyle name="Total 9 8 2 2" xfId="17283" xr:uid="{00000000-0005-0000-0000-0000E2800000}"/>
    <cellStyle name="Total 9 8 2 2 2" xfId="32115" xr:uid="{00000000-0005-0000-0000-0000E3800000}"/>
    <cellStyle name="Total 9 8 2 3" xfId="19101" xr:uid="{00000000-0005-0000-0000-0000E4800000}"/>
    <cellStyle name="Total 9 8 3" xfId="13955" xr:uid="{00000000-0005-0000-0000-0000E5800000}"/>
    <cellStyle name="Total 9 8 3 2" xfId="28787" xr:uid="{00000000-0005-0000-0000-0000E6800000}"/>
    <cellStyle name="Total 9 8 4" xfId="10900" xr:uid="{00000000-0005-0000-0000-0000E7800000}"/>
    <cellStyle name="Total 9 8 4 2" xfId="25732" xr:uid="{00000000-0005-0000-0000-0000E8800000}"/>
    <cellStyle name="Total 9 9" xfId="4282" xr:uid="{00000000-0005-0000-0000-0000E9800000}"/>
    <cellStyle name="Total 9 9 2" xfId="8321" xr:uid="{00000000-0005-0000-0000-0000EA800000}"/>
    <cellStyle name="Total 9 9 2 2" xfId="17604" xr:uid="{00000000-0005-0000-0000-0000EB800000}"/>
    <cellStyle name="Total 9 9 2 2 2" xfId="32436" xr:uid="{00000000-0005-0000-0000-0000EC800000}"/>
    <cellStyle name="Total 9 9 2 3" xfId="19320" xr:uid="{00000000-0005-0000-0000-0000ED800000}"/>
    <cellStyle name="Total 9 9 3" xfId="14614" xr:uid="{00000000-0005-0000-0000-0000EE800000}"/>
    <cellStyle name="Total 9 9 3 2" xfId="29446" xr:uid="{00000000-0005-0000-0000-0000EF800000}"/>
    <cellStyle name="Total 9 9 4" xfId="11221" xr:uid="{00000000-0005-0000-0000-0000F0800000}"/>
    <cellStyle name="Total 9 9 4 2" xfId="26053" xr:uid="{00000000-0005-0000-0000-0000F1800000}"/>
    <cellStyle name="Warning Text 2" xfId="1283" xr:uid="{00000000-0005-0000-0000-0000F2800000}"/>
    <cellStyle name="Warning Text 2 2" xfId="1284" xr:uid="{00000000-0005-0000-0000-0000F3800000}"/>
    <cellStyle name="Warning Text 2 3" xfId="1285" xr:uid="{00000000-0005-0000-0000-0000F4800000}"/>
    <cellStyle name="Warning Text 2 4" xfId="1286" xr:uid="{00000000-0005-0000-0000-0000F5800000}"/>
    <cellStyle name="Warning Text 2 5" xfId="1287" xr:uid="{00000000-0005-0000-0000-0000F6800000}"/>
    <cellStyle name="Warning Text 2 6" xfId="1288" xr:uid="{00000000-0005-0000-0000-0000F7800000}"/>
    <cellStyle name="Warning Text 2 7" xfId="1289" xr:uid="{00000000-0005-0000-0000-0000F8800000}"/>
    <cellStyle name="Warning Text 2 8" xfId="1290" xr:uid="{00000000-0005-0000-0000-0000F9800000}"/>
    <cellStyle name="Warning Text 3" xfId="1291" xr:uid="{00000000-0005-0000-0000-0000FA800000}"/>
    <cellStyle name="Warning Text 4" xfId="1292" xr:uid="{00000000-0005-0000-0000-0000FB800000}"/>
    <cellStyle name="Warning Text 5" xfId="1293" xr:uid="{00000000-0005-0000-0000-0000FC800000}"/>
    <cellStyle name="Warning Text 6" xfId="1294" xr:uid="{00000000-0005-0000-0000-0000FD800000}"/>
    <cellStyle name="Warning Text 7" xfId="1295" xr:uid="{00000000-0005-0000-0000-0000FE800000}"/>
    <cellStyle name="Warning Text 8" xfId="1296" xr:uid="{00000000-0005-0000-0000-0000FF800000}"/>
    <cellStyle name="Warning Text 9" xfId="1282" xr:uid="{00000000-0005-0000-0000-000000810000}"/>
  </cellStyles>
  <dxfs count="0"/>
  <tableStyles count="0" defaultTableStyle="TableStyleMedium2" defaultPivotStyle="PivotStyleLight16"/>
  <colors>
    <mruColors>
      <color rgb="FF3D6DC3"/>
      <color rgb="FF8A2680"/>
      <color rgb="FFCC99FF"/>
      <color rgb="FFBCDBAD"/>
      <color rgb="FFFF9999"/>
      <color rgb="FFFF9933"/>
      <color rgb="FF77BA4E"/>
      <color rgb="FF6AC2D4"/>
      <color rgb="FF67B73B"/>
      <color rgb="FF6DC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1. Winter Wheat Net Returns: Gross Income minus Variable (Out-of-Pocket) Costs</a:t>
            </a:r>
            <a:r>
              <a:rPr lang="en-US" sz="2000" b="1" baseline="0">
                <a:latin typeface="Times New Roman" panose="02020603050405020304" pitchFamily="18" charset="0"/>
                <a:cs typeface="Times New Roman" panose="02020603050405020304" pitchFamily="18" charset="0"/>
              </a:rPr>
              <a:t>.</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AnnualRotations!$D$10:$I$10</c:f>
              <c:numCache>
                <c:formatCode>"$"#,##0</c:formatCode>
                <c:ptCount val="6"/>
                <c:pt idx="0">
                  <c:v>227.19025471778372</c:v>
                </c:pt>
                <c:pt idx="1">
                  <c:v>241.57191993612309</c:v>
                </c:pt>
                <c:pt idx="2">
                  <c:v>252.32730107610158</c:v>
                </c:pt>
                <c:pt idx="3">
                  <c:v>264.43764000756124</c:v>
                </c:pt>
                <c:pt idx="4">
                  <c:v>182.75631144628261</c:v>
                </c:pt>
                <c:pt idx="5">
                  <c:v>166.9733905555054</c:v>
                </c:pt>
              </c:numCache>
            </c:numRef>
          </c:val>
          <c:extLst>
            <c:ext xmlns:c16="http://schemas.microsoft.com/office/drawing/2014/chart" uri="{C3380CC4-5D6E-409C-BE32-E72D297353CC}">
              <c16:uniqueId val="{00000002-30B7-3F4C-B8D9-CF67A374EBD7}"/>
            </c:ext>
          </c:extLst>
        </c:ser>
        <c:ser>
          <c:idx val="3"/>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AnnualRotations!$D$11:$I$11</c:f>
              <c:numCache>
                <c:formatCode>"$"#,##0</c:formatCode>
                <c:ptCount val="6"/>
                <c:pt idx="0">
                  <c:v>382.50216344382591</c:v>
                </c:pt>
                <c:pt idx="1">
                  <c:v>380.37004696355035</c:v>
                </c:pt>
                <c:pt idx="2">
                  <c:v>362.31670282587788</c:v>
                </c:pt>
                <c:pt idx="3">
                  <c:v>321.03352271512546</c:v>
                </c:pt>
                <c:pt idx="4">
                  <c:v>289.88190910737853</c:v>
                </c:pt>
                <c:pt idx="5">
                  <c:v>305.71342211136272</c:v>
                </c:pt>
              </c:numCache>
            </c:numRef>
          </c:val>
          <c:extLst>
            <c:ext xmlns:c16="http://schemas.microsoft.com/office/drawing/2014/chart" uri="{C3380CC4-5D6E-409C-BE32-E72D297353CC}">
              <c16:uniqueId val="{00000005-30B7-3F4C-B8D9-CF67A374EBD7}"/>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AnnualRotations!$D$12:$I$12</c:f>
              <c:numCache>
                <c:formatCode>"$"#,##0</c:formatCode>
                <c:ptCount val="6"/>
                <c:pt idx="0">
                  <c:v>304.84620908080478</c:v>
                </c:pt>
                <c:pt idx="1">
                  <c:v>310.97098344983669</c:v>
                </c:pt>
                <c:pt idx="2">
                  <c:v>307.32200195098972</c:v>
                </c:pt>
                <c:pt idx="3">
                  <c:v>292.73558136134335</c:v>
                </c:pt>
                <c:pt idx="4">
                  <c:v>236.31911027683057</c:v>
                </c:pt>
                <c:pt idx="5">
                  <c:v>236.34340633343407</c:v>
                </c:pt>
              </c:numCache>
            </c:numRef>
          </c:val>
          <c:extLst>
            <c:ext xmlns:c16="http://schemas.microsoft.com/office/drawing/2014/chart" uri="{C3380CC4-5D6E-409C-BE32-E72D297353CC}">
              <c16:uniqueId val="{00000007-30B7-3F4C-B8D9-CF67A374EBD7}"/>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AnnualRotations!$D$13:$I$13</c:f>
              <c:numCache>
                <c:formatCode>"$"#,##0</c:formatCode>
                <c:ptCount val="6"/>
                <c:pt idx="0">
                  <c:v>609.69241816160957</c:v>
                </c:pt>
                <c:pt idx="1">
                  <c:v>621.94196689967339</c:v>
                </c:pt>
                <c:pt idx="2">
                  <c:v>614.64400390197943</c:v>
                </c:pt>
                <c:pt idx="3">
                  <c:v>585.4711627226867</c:v>
                </c:pt>
                <c:pt idx="4">
                  <c:v>472.63822055366114</c:v>
                </c:pt>
                <c:pt idx="5">
                  <c:v>472.68681266686815</c:v>
                </c:pt>
              </c:numCache>
            </c:numRef>
          </c:val>
          <c:extLst>
            <c:ext xmlns:c16="http://schemas.microsoft.com/office/drawing/2014/chart" uri="{C3380CC4-5D6E-409C-BE32-E72D297353CC}">
              <c16:uniqueId val="{00000008-30B7-3F4C-B8D9-CF67A374EBD7}"/>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2. Spring Wheat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3"/>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AnnualRotations!$J$10:$O$10</c:f>
              <c:numCache>
                <c:formatCode>"$"#,##0</c:formatCode>
                <c:ptCount val="6"/>
                <c:pt idx="0">
                  <c:v>160.18693574733726</c:v>
                </c:pt>
                <c:pt idx="1">
                  <c:v>176.80836231151807</c:v>
                </c:pt>
                <c:pt idx="2">
                  <c:v>0</c:v>
                </c:pt>
                <c:pt idx="3">
                  <c:v>115.5088972672731</c:v>
                </c:pt>
                <c:pt idx="4">
                  <c:v>107.90619892263419</c:v>
                </c:pt>
                <c:pt idx="5">
                  <c:v>129.37712242377995</c:v>
                </c:pt>
              </c:numCache>
            </c:numRef>
          </c:val>
          <c:extLst>
            <c:ext xmlns:c16="http://schemas.microsoft.com/office/drawing/2014/chart" uri="{C3380CC4-5D6E-409C-BE32-E72D297353CC}">
              <c16:uniqueId val="{00000004-9E9E-6B4E-8ACB-ABD1990E2DB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AnnualRotations!$J$11:$O$11</c:f>
              <c:numCache>
                <c:formatCode>"$"#,##0</c:formatCode>
                <c:ptCount val="6"/>
                <c:pt idx="0">
                  <c:v>250.15108256607169</c:v>
                </c:pt>
                <c:pt idx="1">
                  <c:v>237.72698073345947</c:v>
                </c:pt>
                <c:pt idx="2">
                  <c:v>0</c:v>
                </c:pt>
                <c:pt idx="3">
                  <c:v>108.47175349403832</c:v>
                </c:pt>
                <c:pt idx="4">
                  <c:v>97.858411071738928</c:v>
                </c:pt>
                <c:pt idx="5">
                  <c:v>104.81569088599112</c:v>
                </c:pt>
              </c:numCache>
            </c:numRef>
          </c:val>
          <c:extLst>
            <c:ext xmlns:c16="http://schemas.microsoft.com/office/drawing/2014/chart" uri="{C3380CC4-5D6E-409C-BE32-E72D297353CC}">
              <c16:uniqueId val="{00000005-9E9E-6B4E-8ACB-ABD1990E2DB0}"/>
            </c:ext>
          </c:extLst>
        </c:ser>
        <c:ser>
          <c:idx val="4"/>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AnnualRotations!$J$12:$O$12</c:f>
              <c:numCache>
                <c:formatCode>"$"#,##0</c:formatCode>
                <c:ptCount val="6"/>
                <c:pt idx="0">
                  <c:v>205.16900915670448</c:v>
                </c:pt>
                <c:pt idx="1">
                  <c:v>207.26767152248877</c:v>
                </c:pt>
                <c:pt idx="2">
                  <c:v>0</c:v>
                </c:pt>
                <c:pt idx="3">
                  <c:v>111.99032538065572</c:v>
                </c:pt>
                <c:pt idx="4">
                  <c:v>102.88230499718657</c:v>
                </c:pt>
                <c:pt idx="5">
                  <c:v>117.09640665488553</c:v>
                </c:pt>
              </c:numCache>
            </c:numRef>
          </c:val>
          <c:extLst>
            <c:ext xmlns:c16="http://schemas.microsoft.com/office/drawing/2014/chart" uri="{C3380CC4-5D6E-409C-BE32-E72D297353CC}">
              <c16:uniqueId val="{00000006-9E9E-6B4E-8ACB-ABD1990E2DB0}"/>
            </c:ext>
          </c:extLst>
        </c:ser>
        <c:ser>
          <c:idx val="1"/>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AnnualRotations!$J$13:$O$13</c:f>
              <c:numCache>
                <c:formatCode>"$"#,##0</c:formatCode>
                <c:ptCount val="6"/>
                <c:pt idx="0">
                  <c:v>410.33801831340895</c:v>
                </c:pt>
                <c:pt idx="1">
                  <c:v>414.53534304497754</c:v>
                </c:pt>
                <c:pt idx="2">
                  <c:v>0</c:v>
                </c:pt>
                <c:pt idx="3">
                  <c:v>223.98065076131144</c:v>
                </c:pt>
                <c:pt idx="4">
                  <c:v>205.76460999437313</c:v>
                </c:pt>
                <c:pt idx="5">
                  <c:v>234.19281330977105</c:v>
                </c:pt>
              </c:numCache>
            </c:numRef>
          </c:val>
          <c:extLst>
            <c:ext xmlns:c16="http://schemas.microsoft.com/office/drawing/2014/chart" uri="{C3380CC4-5D6E-409C-BE32-E72D297353CC}">
              <c16:uniqueId val="{00000007-9E9E-6B4E-8ACB-ABD1990E2DB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70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3.</a:t>
            </a:r>
            <a:r>
              <a:rPr lang="en-US" sz="2000" b="1" baseline="0">
                <a:latin typeface="Times New Roman" panose="02020603050405020304" pitchFamily="18" charset="0"/>
                <a:cs typeface="Times New Roman" panose="02020603050405020304" pitchFamily="18" charset="0"/>
              </a:rPr>
              <a:t> </a:t>
            </a:r>
            <a:r>
              <a:rPr lang="en-US" sz="2000" b="1">
                <a:latin typeface="Times New Roman" panose="02020603050405020304" pitchFamily="18" charset="0"/>
                <a:cs typeface="Times New Roman" panose="02020603050405020304" pitchFamily="18" charset="0"/>
              </a:rPr>
              <a:t>Winter</a:t>
            </a:r>
            <a:r>
              <a:rPr lang="en-US" sz="2000" b="1" baseline="0">
                <a:latin typeface="Times New Roman" panose="02020603050405020304" pitchFamily="18" charset="0"/>
                <a:cs typeface="Times New Roman" panose="02020603050405020304" pitchFamily="18" charset="0"/>
              </a:rPr>
              <a:t> Peas</a:t>
            </a:r>
            <a:r>
              <a:rPr lang="en-US" sz="2000" b="1">
                <a:latin typeface="Times New Roman" panose="02020603050405020304" pitchFamily="18" charset="0"/>
                <a:cs typeface="Times New Roman" panose="02020603050405020304" pitchFamily="18" charset="0"/>
              </a:rPr>
              <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1"/>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AnnualRotations!$P$10:$U$10</c:f>
              <c:numCache>
                <c:formatCode>"$"#,##0</c:formatCode>
                <c:ptCount val="6"/>
                <c:pt idx="0">
                  <c:v>0</c:v>
                </c:pt>
                <c:pt idx="1">
                  <c:v>-49.102614300000013</c:v>
                </c:pt>
                <c:pt idx="2">
                  <c:v>0</c:v>
                </c:pt>
                <c:pt idx="3">
                  <c:v>0</c:v>
                </c:pt>
                <c:pt idx="4">
                  <c:v>-92.93666690000002</c:v>
                </c:pt>
                <c:pt idx="5">
                  <c:v>0</c:v>
                </c:pt>
              </c:numCache>
            </c:numRef>
          </c:val>
          <c:extLst>
            <c:ext xmlns:c16="http://schemas.microsoft.com/office/drawing/2014/chart" uri="{C3380CC4-5D6E-409C-BE32-E72D297353CC}">
              <c16:uniqueId val="{00000003-1745-874F-B6A2-26377453DF04}"/>
            </c:ext>
          </c:extLst>
        </c:ser>
        <c:ser>
          <c:idx val="2"/>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AnnualRotations!$P$11:$U$11</c:f>
              <c:numCache>
                <c:formatCode>"$"#,##0</c:formatCode>
                <c:ptCount val="6"/>
                <c:pt idx="0">
                  <c:v>0</c:v>
                </c:pt>
                <c:pt idx="1">
                  <c:v>126.15031260000001</c:v>
                </c:pt>
                <c:pt idx="2">
                  <c:v>0</c:v>
                </c:pt>
                <c:pt idx="3">
                  <c:v>0</c:v>
                </c:pt>
                <c:pt idx="4">
                  <c:v>9.7192605000000025</c:v>
                </c:pt>
                <c:pt idx="5">
                  <c:v>0</c:v>
                </c:pt>
              </c:numCache>
            </c:numRef>
          </c:val>
          <c:extLst>
            <c:ext xmlns:c16="http://schemas.microsoft.com/office/drawing/2014/chart" uri="{C3380CC4-5D6E-409C-BE32-E72D297353CC}">
              <c16:uniqueId val="{00000005-1745-874F-B6A2-26377453DF04}"/>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AnnualRotations!$P$12:$U$12</c:f>
              <c:numCache>
                <c:formatCode>"$"#,##0</c:formatCode>
                <c:ptCount val="6"/>
                <c:pt idx="0">
                  <c:v>0</c:v>
                </c:pt>
                <c:pt idx="1">
                  <c:v>38.523849149999997</c:v>
                </c:pt>
                <c:pt idx="2">
                  <c:v>0</c:v>
                </c:pt>
                <c:pt idx="3">
                  <c:v>0</c:v>
                </c:pt>
                <c:pt idx="4">
                  <c:v>-41.608703200000008</c:v>
                </c:pt>
                <c:pt idx="5">
                  <c:v>0</c:v>
                </c:pt>
              </c:numCache>
            </c:numRef>
          </c:val>
          <c:extLst>
            <c:ext xmlns:c16="http://schemas.microsoft.com/office/drawing/2014/chart" uri="{C3380CC4-5D6E-409C-BE32-E72D297353CC}">
              <c16:uniqueId val="{00000006-1745-874F-B6A2-26377453DF04}"/>
            </c:ext>
          </c:extLst>
        </c:ser>
        <c:ser>
          <c:idx val="3"/>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AnnualRotations!$P$13:$U$13</c:f>
              <c:numCache>
                <c:formatCode>"$"#,##0</c:formatCode>
                <c:ptCount val="6"/>
                <c:pt idx="0">
                  <c:v>0</c:v>
                </c:pt>
                <c:pt idx="1">
                  <c:v>77.047698299999993</c:v>
                </c:pt>
                <c:pt idx="2">
                  <c:v>0</c:v>
                </c:pt>
                <c:pt idx="3">
                  <c:v>0</c:v>
                </c:pt>
                <c:pt idx="4">
                  <c:v>-83.217406400000016</c:v>
                </c:pt>
                <c:pt idx="5">
                  <c:v>0</c:v>
                </c:pt>
              </c:numCache>
            </c:numRef>
          </c:val>
          <c:extLst>
            <c:ext xmlns:c16="http://schemas.microsoft.com/office/drawing/2014/chart" uri="{C3380CC4-5D6E-409C-BE32-E72D297353CC}">
              <c16:uniqueId val="{00000007-1745-874F-B6A2-26377453DF04}"/>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At val="0"/>
        <c:auto val="1"/>
        <c:lblAlgn val="ctr"/>
        <c:lblOffset val="100"/>
        <c:noMultiLvlLbl val="0"/>
      </c:catAx>
      <c:valAx>
        <c:axId val="1770840032"/>
        <c:scaling>
          <c:orientation val="minMax"/>
          <c:max val="1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4. Chick</a:t>
            </a:r>
            <a:r>
              <a:rPr lang="en-US" sz="2000" b="1" baseline="0">
                <a:latin typeface="Times New Roman" panose="02020603050405020304" pitchFamily="18" charset="0"/>
                <a:cs typeface="Times New Roman" panose="02020603050405020304" pitchFamily="18" charset="0"/>
              </a:rPr>
              <a:t>peas</a:t>
            </a:r>
            <a:r>
              <a:rPr lang="en-US" sz="2000" b="1">
                <a:latin typeface="Times New Roman" panose="02020603050405020304" pitchFamily="18" charset="0"/>
                <a:cs typeface="Times New Roman" panose="02020603050405020304" pitchFamily="18" charset="0"/>
              </a:rPr>
              <a:t> Net Returns: Gross Income minus Variable (Out-of-Pocket) Costs</a:t>
            </a:r>
            <a:r>
              <a:rPr lang="en-US" sz="2000" b="1" i="0" u="none" strike="noStrike" baseline="0">
                <a:effectLst/>
              </a:rPr>
              <a:t>. </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AnnualRotations!$V$10:$AA$10</c:f>
              <c:numCache>
                <c:formatCode>"$"#,##0</c:formatCode>
                <c:ptCount val="6"/>
                <c:pt idx="0">
                  <c:v>97.565366600000004</c:v>
                </c:pt>
                <c:pt idx="1">
                  <c:v>0</c:v>
                </c:pt>
                <c:pt idx="2">
                  <c:v>104.13151009999997</c:v>
                </c:pt>
                <c:pt idx="3">
                  <c:v>0</c:v>
                </c:pt>
                <c:pt idx="4">
                  <c:v>0</c:v>
                </c:pt>
                <c:pt idx="5">
                  <c:v>0</c:v>
                </c:pt>
              </c:numCache>
            </c:numRef>
          </c:val>
          <c:extLst>
            <c:ext xmlns:c16="http://schemas.microsoft.com/office/drawing/2014/chart" uri="{C3380CC4-5D6E-409C-BE32-E72D297353CC}">
              <c16:uniqueId val="{00000001-EE4A-BF44-A8DB-59F143F6BF8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AnnualRotations!$V$11:$AA$11</c:f>
              <c:numCache>
                <c:formatCode>"$"#,##0</c:formatCode>
                <c:ptCount val="6"/>
                <c:pt idx="0">
                  <c:v>117.15156330000002</c:v>
                </c:pt>
                <c:pt idx="1">
                  <c:v>0</c:v>
                </c:pt>
                <c:pt idx="2">
                  <c:v>91.905575099999993</c:v>
                </c:pt>
                <c:pt idx="3">
                  <c:v>0</c:v>
                </c:pt>
                <c:pt idx="4">
                  <c:v>0</c:v>
                </c:pt>
                <c:pt idx="5">
                  <c:v>0</c:v>
                </c:pt>
              </c:numCache>
            </c:numRef>
          </c:val>
          <c:extLst>
            <c:ext xmlns:c16="http://schemas.microsoft.com/office/drawing/2014/chart" uri="{C3380CC4-5D6E-409C-BE32-E72D297353CC}">
              <c16:uniqueId val="{00000002-EE4A-BF44-A8DB-59F143F6BF80}"/>
            </c:ext>
          </c:extLst>
        </c:ser>
        <c:ser>
          <c:idx val="3"/>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AnnualRotations!$V$12:$AA$12</c:f>
              <c:numCache>
                <c:formatCode>"$"#,##0</c:formatCode>
                <c:ptCount val="6"/>
                <c:pt idx="0">
                  <c:v>107.35846495000001</c:v>
                </c:pt>
                <c:pt idx="1">
                  <c:v>0</c:v>
                </c:pt>
                <c:pt idx="2">
                  <c:v>98.018542599999989</c:v>
                </c:pt>
                <c:pt idx="3">
                  <c:v>0</c:v>
                </c:pt>
                <c:pt idx="4">
                  <c:v>0</c:v>
                </c:pt>
                <c:pt idx="5">
                  <c:v>0</c:v>
                </c:pt>
              </c:numCache>
            </c:numRef>
          </c:val>
          <c:extLst>
            <c:ext xmlns:c16="http://schemas.microsoft.com/office/drawing/2014/chart" uri="{C3380CC4-5D6E-409C-BE32-E72D297353CC}">
              <c16:uniqueId val="{00000003-EE4A-BF44-A8DB-59F143F6BF80}"/>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AnnualRotations!$V$13:$AA$13</c:f>
              <c:numCache>
                <c:formatCode>"$"#,##0</c:formatCode>
                <c:ptCount val="6"/>
                <c:pt idx="0">
                  <c:v>214.71692990000003</c:v>
                </c:pt>
                <c:pt idx="1">
                  <c:v>0</c:v>
                </c:pt>
                <c:pt idx="2">
                  <c:v>196.03708519999998</c:v>
                </c:pt>
                <c:pt idx="3">
                  <c:v>0</c:v>
                </c:pt>
                <c:pt idx="4">
                  <c:v>0</c:v>
                </c:pt>
                <c:pt idx="5">
                  <c:v>0</c:v>
                </c:pt>
              </c:numCache>
            </c:numRef>
          </c:val>
          <c:extLst>
            <c:ext xmlns:c16="http://schemas.microsoft.com/office/drawing/2014/chart" uri="{C3380CC4-5D6E-409C-BE32-E72D297353CC}">
              <c16:uniqueId val="{00000005-EE4A-BF44-A8DB-59F143F6BF8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2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5. Economic</a:t>
            </a:r>
            <a:r>
              <a:rPr lang="en-US" sz="2000" b="1" baseline="0">
                <a:latin typeface="Times New Roman" panose="02020603050405020304" pitchFamily="18" charset="0"/>
                <a:cs typeface="Times New Roman" panose="02020603050405020304" pitchFamily="18" charset="0"/>
              </a:rPr>
              <a:t> Trade-off: Tons of Biomass Harvested and the Costs to 1) Establish Cover Crops, 2) use for </a:t>
            </a:r>
            <a:r>
              <a:rPr lang="en-US" sz="2000" b="1" i="0" u="none" strike="noStrike" baseline="0">
                <a:effectLst/>
              </a:rPr>
              <a:t>Livestock Grazing</a:t>
            </a:r>
            <a:r>
              <a:rPr lang="en-US" sz="2000" b="1" i="0" u="none" strike="noStrike" baseline="30000">
                <a:effectLst/>
              </a:rPr>
              <a:t>1</a:t>
            </a:r>
            <a:r>
              <a:rPr lang="en-US" sz="2000" b="1" i="0" u="none" strike="noStrike" baseline="0">
                <a:effectLst/>
              </a:rPr>
              <a:t>, </a:t>
            </a:r>
            <a:r>
              <a:rPr lang="en-US" sz="2000" b="1" baseline="0">
                <a:latin typeface="Times New Roman" panose="02020603050405020304" pitchFamily="18" charset="0"/>
                <a:cs typeface="Times New Roman" panose="02020603050405020304" pitchFamily="18" charset="0"/>
              </a:rPr>
              <a:t>or 3) Harvest for Feed or to be Sold</a:t>
            </a:r>
            <a:r>
              <a:rPr lang="en-US" sz="2000" b="1" baseline="30000">
                <a:latin typeface="Times New Roman" panose="02020603050405020304" pitchFamily="18" charset="0"/>
                <a:cs typeface="Times New Roman" panose="02020603050405020304" pitchFamily="18" charset="0"/>
              </a:rPr>
              <a:t>2</a:t>
            </a:r>
            <a:r>
              <a:rPr lang="en-US" sz="2000" b="1" baseline="0">
                <a:latin typeface="Times New Roman" panose="02020603050405020304" pitchFamily="18" charset="0"/>
                <a:cs typeface="Times New Roman" panose="02020603050405020304" pitchFamily="18" charset="0"/>
              </a:rPr>
              <a:t>, all on per acre basis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Graphs!$E$43</c:f>
              <c:strCache>
                <c:ptCount val="1"/>
                <c:pt idx="0">
                  <c:v>Tons of Biomass Harvested</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Graphs!$F$43:$G$43</c:f>
              <c:numCache>
                <c:formatCode>0.00</c:formatCode>
                <c:ptCount val="2"/>
                <c:pt idx="0">
                  <c:v>2.714013</c:v>
                </c:pt>
                <c:pt idx="1">
                  <c:v>2.2527560000000002</c:v>
                </c:pt>
              </c:numCache>
            </c:numRef>
          </c:val>
          <c:extLst>
            <c:ext xmlns:c16="http://schemas.microsoft.com/office/drawing/2014/chart" uri="{C3380CC4-5D6E-409C-BE32-E72D297353CC}">
              <c16:uniqueId val="{00000000-833D-E94F-BACF-B49DF2D8C623}"/>
            </c:ext>
          </c:extLst>
        </c:ser>
        <c:ser>
          <c:idx val="3"/>
          <c:order val="1"/>
          <c:tx>
            <c:strRef>
              <c:f>Graphs!$E$44</c:f>
              <c:strCache>
                <c:ptCount val="1"/>
                <c:pt idx="0">
                  <c:v>Establish Cover Crop</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Graphs!$F$44:$G$44</c:f>
              <c:numCache>
                <c:formatCode>"$"#,##0.00</c:formatCode>
                <c:ptCount val="2"/>
                <c:pt idx="0">
                  <c:v>75.319999999999993</c:v>
                </c:pt>
                <c:pt idx="1">
                  <c:v>105.54</c:v>
                </c:pt>
              </c:numCache>
            </c:numRef>
          </c:val>
          <c:extLst>
            <c:ext xmlns:c16="http://schemas.microsoft.com/office/drawing/2014/chart" uri="{C3380CC4-5D6E-409C-BE32-E72D297353CC}">
              <c16:uniqueId val="{00000001-833D-E94F-BACF-B49DF2D8C623}"/>
            </c:ext>
          </c:extLst>
        </c:ser>
        <c:ser>
          <c:idx val="0"/>
          <c:order val="2"/>
          <c:tx>
            <c:strRef>
              <c:f>Graphs!$E$45</c:f>
              <c:strCache>
                <c:ptCount val="1"/>
                <c:pt idx="0">
                  <c:v>Establish Fencing, etc. to Graze Livestock</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Graphs!$F$45:$G$45</c:f>
              <c:numCache>
                <c:formatCode>"$"#,##0.00</c:formatCode>
                <c:ptCount val="2"/>
                <c:pt idx="0">
                  <c:v>29.425138461538459</c:v>
                </c:pt>
                <c:pt idx="1">
                  <c:v>29.425138461538459</c:v>
                </c:pt>
              </c:numCache>
            </c:numRef>
          </c:val>
          <c:extLst>
            <c:ext xmlns:c16="http://schemas.microsoft.com/office/drawing/2014/chart" uri="{C3380CC4-5D6E-409C-BE32-E72D297353CC}">
              <c16:uniqueId val="{00000002-833D-E94F-BACF-B49DF2D8C623}"/>
            </c:ext>
          </c:extLst>
        </c:ser>
        <c:ser>
          <c:idx val="1"/>
          <c:order val="3"/>
          <c:tx>
            <c:strRef>
              <c:f>Graphs!$E$46</c:f>
              <c:strCache>
                <c:ptCount val="1"/>
                <c:pt idx="0">
                  <c:v>Mow/condition, rake, and bale into small bales</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Graphs!$F$46:$G$46</c:f>
              <c:numCache>
                <c:formatCode>"$"#,##0.00</c:formatCode>
                <c:ptCount val="2"/>
                <c:pt idx="0">
                  <c:v>15.06</c:v>
                </c:pt>
                <c:pt idx="1">
                  <c:v>15.06</c:v>
                </c:pt>
              </c:numCache>
            </c:numRef>
          </c:val>
          <c:extLst>
            <c:ext xmlns:c16="http://schemas.microsoft.com/office/drawing/2014/chart" uri="{C3380CC4-5D6E-409C-BE32-E72D297353CC}">
              <c16:uniqueId val="{00000008-833D-E94F-BACF-B49DF2D8C623}"/>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0.0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youtu.be/vw2WrPHL46g"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Qsa_k91Bv6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P5t5P4TD6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aJ3-osRE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LR6rSjMcMM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GcbJNL1BWs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_K5M1clJz1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AnkiREGY6b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h_KLAYVvNo" TargetMode="External"/></Relationships>
</file>

<file path=xl/drawings/drawing1.xml><?xml version="1.0" encoding="utf-8"?>
<xdr:wsDr xmlns:xdr="http://schemas.openxmlformats.org/drawingml/2006/spreadsheetDrawing" xmlns:a="http://schemas.openxmlformats.org/drawingml/2006/main">
  <xdr:twoCellAnchor editAs="oneCell">
    <xdr:from>
      <xdr:col>13</xdr:col>
      <xdr:colOff>272143</xdr:colOff>
      <xdr:row>1</xdr:row>
      <xdr:rowOff>85937</xdr:rowOff>
    </xdr:from>
    <xdr:to>
      <xdr:col>14</xdr:col>
      <xdr:colOff>382813</xdr:colOff>
      <xdr:row>3</xdr:row>
      <xdr:rowOff>58054</xdr:rowOff>
    </xdr:to>
    <xdr:pic>
      <xdr:nvPicPr>
        <xdr:cNvPr id="3" name="Picture 2">
          <a:hlinkClick xmlns:r="http://schemas.openxmlformats.org/officeDocument/2006/relationships" r:id="rId1"/>
          <a:extLst>
            <a:ext uri="{FF2B5EF4-FFF2-40B4-BE49-F238E27FC236}">
              <a16:creationId xmlns:a16="http://schemas.microsoft.com/office/drawing/2014/main" id="{E1AA62DF-1266-F585-08C3-5A2D6C39C1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3500" y="276437"/>
          <a:ext cx="936170" cy="353117"/>
        </a:xfrm>
        <a:prstGeom prst="rect">
          <a:avLst/>
        </a:prstGeom>
        <a:ln w="12700">
          <a:solidFill>
            <a:schemeClr val="tx1"/>
          </a:solidFill>
        </a:ln>
        <a:effectLst>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32</xdr:col>
      <xdr:colOff>285750</xdr:colOff>
      <xdr:row>1</xdr:row>
      <xdr:rowOff>158750</xdr:rowOff>
    </xdr:from>
    <xdr:to>
      <xdr:col>33</xdr:col>
      <xdr:colOff>570472</xdr:colOff>
      <xdr:row>3</xdr:row>
      <xdr:rowOff>89478</xdr:rowOff>
    </xdr:to>
    <xdr:pic>
      <xdr:nvPicPr>
        <xdr:cNvPr id="4" name="Picture 3">
          <a:hlinkClick xmlns:r="http://schemas.openxmlformats.org/officeDocument/2006/relationships" r:id="rId1"/>
          <a:extLst>
            <a:ext uri="{FF2B5EF4-FFF2-40B4-BE49-F238E27FC236}">
              <a16:creationId xmlns:a16="http://schemas.microsoft.com/office/drawing/2014/main" id="{827049D4-9E87-E543-B856-92A5089260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412750"/>
          <a:ext cx="1163139" cy="438728"/>
        </a:xfrm>
        <a:prstGeom prst="rect">
          <a:avLst/>
        </a:prstGeom>
        <a:ln w="12700">
          <a:solidFill>
            <a:schemeClr val="tx1"/>
          </a:solidFill>
        </a:ln>
        <a:effectLst>
          <a:softEdge rad="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5" name="Picture 4">
          <a:hlinkClick xmlns:r="http://schemas.openxmlformats.org/officeDocument/2006/relationships" r:id="rId1"/>
          <a:extLst>
            <a:ext uri="{FF2B5EF4-FFF2-40B4-BE49-F238E27FC236}">
              <a16:creationId xmlns:a16="http://schemas.microsoft.com/office/drawing/2014/main" id="{D52BD7F7-3DBF-F247-A504-80432227E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63E959DE-DC80-5F40-907A-DCFA8CBDF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51378</xdr:rowOff>
    </xdr:to>
    <xdr:pic>
      <xdr:nvPicPr>
        <xdr:cNvPr id="2" name="Picture 1">
          <a:hlinkClick xmlns:r="http://schemas.openxmlformats.org/officeDocument/2006/relationships" r:id="rId1"/>
          <a:extLst>
            <a:ext uri="{FF2B5EF4-FFF2-40B4-BE49-F238E27FC236}">
              <a16:creationId xmlns:a16="http://schemas.microsoft.com/office/drawing/2014/main" id="{99B44EB0-19B2-854B-9FB8-4BBDDFEBE7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C1AF7941-F4F2-0944-9FBD-D0FF0D450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E1E28BB-CF71-5649-8A95-0FC0A541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C1E296A-2F07-CC4D-B0C5-5A454E764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59BEA69B-7E69-0244-B07B-B11045EF6C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2235BFF6-7393-CB48-9FAE-3E56360CAC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FB4955E-8F50-1743-98D6-3D32E8C1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219363</xdr:colOff>
      <xdr:row>1</xdr:row>
      <xdr:rowOff>69272</xdr:rowOff>
    </xdr:from>
    <xdr:to>
      <xdr:col>9</xdr:col>
      <xdr:colOff>551230</xdr:colOff>
      <xdr:row>2</xdr:row>
      <xdr:rowOff>254000</xdr:rowOff>
    </xdr:to>
    <xdr:pic>
      <xdr:nvPicPr>
        <xdr:cNvPr id="3" name="Picture 2">
          <a:hlinkClick xmlns:r="http://schemas.openxmlformats.org/officeDocument/2006/relationships" r:id="rId1"/>
          <a:extLst>
            <a:ext uri="{FF2B5EF4-FFF2-40B4-BE49-F238E27FC236}">
              <a16:creationId xmlns:a16="http://schemas.microsoft.com/office/drawing/2014/main" id="{8E863E7B-B90C-8540-BCA9-018CBAB6BD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2727" y="323272"/>
          <a:ext cx="1163139" cy="438728"/>
        </a:xfrm>
        <a:prstGeom prst="rect">
          <a:avLst/>
        </a:prstGeom>
        <a:ln w="12700">
          <a:solidFill>
            <a:schemeClr val="tx1"/>
          </a:solidFill>
        </a:ln>
        <a:effectLst>
          <a:softEdge rad="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31</xdr:col>
      <xdr:colOff>285750</xdr:colOff>
      <xdr:row>2</xdr:row>
      <xdr:rowOff>158750</xdr:rowOff>
    </xdr:from>
    <xdr:to>
      <xdr:col>32</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3B9174E-D415-7D4D-A81E-698BF7265D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222FE06-2A64-9741-AFE8-64AB96826D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8B69805-ECFC-FC40-97A7-DFEAD607A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7DD32C14-3024-304F-B847-2B4895EEF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902DA834-05D1-D84F-9516-313DDEA2C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285750</xdr:colOff>
      <xdr:row>2</xdr:row>
      <xdr:rowOff>158750</xdr:rowOff>
    </xdr:from>
    <xdr:to>
      <xdr:col>31</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92A2EF7-6AF2-9B45-B849-BD3F0F9028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A8725C5-BDD5-C040-AB9F-8DE606008D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C9E1B6C-CC36-AA46-9963-7899896EA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E1D40851-B529-5140-AC6D-A86F4CDDB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0AC4080-B671-0C48-8D96-BF767F9F2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286</xdr:col>
      <xdr:colOff>300180</xdr:colOff>
      <xdr:row>1</xdr:row>
      <xdr:rowOff>196269</xdr:rowOff>
    </xdr:from>
    <xdr:to>
      <xdr:col>287</xdr:col>
      <xdr:colOff>632046</xdr:colOff>
      <xdr:row>3</xdr:row>
      <xdr:rowOff>126997</xdr:rowOff>
    </xdr:to>
    <xdr:pic>
      <xdr:nvPicPr>
        <xdr:cNvPr id="3" name="Picture 2">
          <a:hlinkClick xmlns:r="http://schemas.openxmlformats.org/officeDocument/2006/relationships" r:id="rId1"/>
          <a:extLst>
            <a:ext uri="{FF2B5EF4-FFF2-40B4-BE49-F238E27FC236}">
              <a16:creationId xmlns:a16="http://schemas.microsoft.com/office/drawing/2014/main" id="{47DEC532-BEDC-D84F-B19D-A941453A7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7180" y="392542"/>
          <a:ext cx="1163139" cy="438728"/>
        </a:xfrm>
        <a:prstGeom prst="rect">
          <a:avLst/>
        </a:prstGeom>
        <a:ln w="12700">
          <a:solidFill>
            <a:schemeClr val="tx1"/>
          </a:solidFill>
        </a:ln>
        <a:effectLst>
          <a:softEdge rad="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8628463-6CD8-DA44-B79D-D8BCB45AE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74D3422-CA7E-C943-94B3-56DEF504A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A375C6A-6479-BA49-96FD-6068CC89C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9863BE8-6B76-2649-A2C1-A9037945C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431800</xdr:colOff>
      <xdr:row>32</xdr:row>
      <xdr:rowOff>76200</xdr:rowOff>
    </xdr:to>
    <xdr:graphicFrame macro="">
      <xdr:nvGraphicFramePr>
        <xdr:cNvPr id="3" name="Chart 2">
          <a:extLst>
            <a:ext uri="{FF2B5EF4-FFF2-40B4-BE49-F238E27FC236}">
              <a16:creationId xmlns:a16="http://schemas.microsoft.com/office/drawing/2014/main" id="{A758EDD4-FF66-C640-B1C5-7A29CC02A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xdr:row>
      <xdr:rowOff>0</xdr:rowOff>
    </xdr:from>
    <xdr:to>
      <xdr:col>34</xdr:col>
      <xdr:colOff>431800</xdr:colOff>
      <xdr:row>32</xdr:row>
      <xdr:rowOff>76200</xdr:rowOff>
    </xdr:to>
    <xdr:graphicFrame macro="">
      <xdr:nvGraphicFramePr>
        <xdr:cNvPr id="4" name="Chart 3">
          <a:extLst>
            <a:ext uri="{FF2B5EF4-FFF2-40B4-BE49-F238E27FC236}">
              <a16:creationId xmlns:a16="http://schemas.microsoft.com/office/drawing/2014/main" id="{3627D2FC-87F5-B24B-80CC-C546C57E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101600</xdr:colOff>
      <xdr:row>23</xdr:row>
      <xdr:rowOff>127000</xdr:rowOff>
    </xdr:from>
    <xdr:to>
      <xdr:col>26</xdr:col>
      <xdr:colOff>190500</xdr:colOff>
      <xdr:row>25</xdr:row>
      <xdr:rowOff>114300</xdr:rowOff>
    </xdr:to>
    <xdr:sp macro="" textlink="">
      <xdr:nvSpPr>
        <xdr:cNvPr id="5" name="Rectangle 4">
          <a:extLst>
            <a:ext uri="{FF2B5EF4-FFF2-40B4-BE49-F238E27FC236}">
              <a16:creationId xmlns:a16="http://schemas.microsoft.com/office/drawing/2014/main" id="{F6D5134B-9A59-D74B-A86E-4355E17EEA44}"/>
            </a:ext>
          </a:extLst>
        </xdr:cNvPr>
        <xdr:cNvSpPr/>
      </xdr:nvSpPr>
      <xdr:spPr>
        <a:xfrm>
          <a:off x="19913600" y="4508500"/>
          <a:ext cx="17399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685800</xdr:colOff>
      <xdr:row>26</xdr:row>
      <xdr:rowOff>88900</xdr:rowOff>
    </xdr:from>
    <xdr:to>
      <xdr:col>26</xdr:col>
      <xdr:colOff>673100</xdr:colOff>
      <xdr:row>28</xdr:row>
      <xdr:rowOff>76200</xdr:rowOff>
    </xdr:to>
    <xdr:sp macro="" textlink="">
      <xdr:nvSpPr>
        <xdr:cNvPr id="6" name="Rectangle 5">
          <a:extLst>
            <a:ext uri="{FF2B5EF4-FFF2-40B4-BE49-F238E27FC236}">
              <a16:creationId xmlns:a16="http://schemas.microsoft.com/office/drawing/2014/main" id="{DDADA133-4C0E-444A-9394-FEDD542F7FAC}"/>
            </a:ext>
          </a:extLst>
        </xdr:cNvPr>
        <xdr:cNvSpPr/>
      </xdr:nvSpPr>
      <xdr:spPr>
        <a:xfrm>
          <a:off x="19672300" y="5041900"/>
          <a:ext cx="24638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0</xdr:colOff>
      <xdr:row>1</xdr:row>
      <xdr:rowOff>0</xdr:rowOff>
    </xdr:from>
    <xdr:to>
      <xdr:col>51</xdr:col>
      <xdr:colOff>431800</xdr:colOff>
      <xdr:row>32</xdr:row>
      <xdr:rowOff>76200</xdr:rowOff>
    </xdr:to>
    <xdr:graphicFrame macro="">
      <xdr:nvGraphicFramePr>
        <xdr:cNvPr id="7" name="Chart 6">
          <a:extLst>
            <a:ext uri="{FF2B5EF4-FFF2-40B4-BE49-F238E27FC236}">
              <a16:creationId xmlns:a16="http://schemas.microsoft.com/office/drawing/2014/main" id="{2481C705-1EC2-8444-ABFF-3780B75AD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241300</xdr:colOff>
      <xdr:row>12</xdr:row>
      <xdr:rowOff>101600</xdr:rowOff>
    </xdr:from>
    <xdr:to>
      <xdr:col>38</xdr:col>
      <xdr:colOff>469900</xdr:colOff>
      <xdr:row>14</xdr:row>
      <xdr:rowOff>88900</xdr:rowOff>
    </xdr:to>
    <xdr:sp macro="" textlink="">
      <xdr:nvSpPr>
        <xdr:cNvPr id="8" name="Rectangle 7">
          <a:extLst>
            <a:ext uri="{FF2B5EF4-FFF2-40B4-BE49-F238E27FC236}">
              <a16:creationId xmlns:a16="http://schemas.microsoft.com/office/drawing/2014/main" id="{4F641945-074A-A64E-A19B-7BBD07628AC3}"/>
            </a:ext>
          </a:extLst>
        </xdr:cNvPr>
        <xdr:cNvSpPr/>
      </xdr:nvSpPr>
      <xdr:spPr>
        <a:xfrm>
          <a:off x="29959300" y="23876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165100</xdr:colOff>
      <xdr:row>12</xdr:row>
      <xdr:rowOff>114300</xdr:rowOff>
    </xdr:from>
    <xdr:to>
      <xdr:col>43</xdr:col>
      <xdr:colOff>393700</xdr:colOff>
      <xdr:row>14</xdr:row>
      <xdr:rowOff>101600</xdr:rowOff>
    </xdr:to>
    <xdr:sp macro="" textlink="">
      <xdr:nvSpPr>
        <xdr:cNvPr id="9" name="Rectangle 8">
          <a:extLst>
            <a:ext uri="{FF2B5EF4-FFF2-40B4-BE49-F238E27FC236}">
              <a16:creationId xmlns:a16="http://schemas.microsoft.com/office/drawing/2014/main" id="{38F6EE11-104A-5D43-BBD3-AF89DF31370D}"/>
            </a:ext>
          </a:extLst>
        </xdr:cNvPr>
        <xdr:cNvSpPr/>
      </xdr:nvSpPr>
      <xdr:spPr>
        <a:xfrm>
          <a:off x="340106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622300</xdr:colOff>
      <xdr:row>12</xdr:row>
      <xdr:rowOff>114300</xdr:rowOff>
    </xdr:from>
    <xdr:to>
      <xdr:col>46</xdr:col>
      <xdr:colOff>25400</xdr:colOff>
      <xdr:row>14</xdr:row>
      <xdr:rowOff>101600</xdr:rowOff>
    </xdr:to>
    <xdr:sp macro="" textlink="">
      <xdr:nvSpPr>
        <xdr:cNvPr id="10" name="Rectangle 9">
          <a:extLst>
            <a:ext uri="{FF2B5EF4-FFF2-40B4-BE49-F238E27FC236}">
              <a16:creationId xmlns:a16="http://schemas.microsoft.com/office/drawing/2014/main" id="{3E8893E2-7346-6149-8644-4A3F181D3EA2}"/>
            </a:ext>
          </a:extLst>
        </xdr:cNvPr>
        <xdr:cNvSpPr/>
      </xdr:nvSpPr>
      <xdr:spPr>
        <a:xfrm>
          <a:off x="361188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711200</xdr:colOff>
      <xdr:row>12</xdr:row>
      <xdr:rowOff>88900</xdr:rowOff>
    </xdr:from>
    <xdr:to>
      <xdr:col>51</xdr:col>
      <xdr:colOff>114300</xdr:colOff>
      <xdr:row>14</xdr:row>
      <xdr:rowOff>76200</xdr:rowOff>
    </xdr:to>
    <xdr:sp macro="" textlink="">
      <xdr:nvSpPr>
        <xdr:cNvPr id="11" name="Rectangle 10">
          <a:extLst>
            <a:ext uri="{FF2B5EF4-FFF2-40B4-BE49-F238E27FC236}">
              <a16:creationId xmlns:a16="http://schemas.microsoft.com/office/drawing/2014/main" id="{22E5FA6E-2154-A542-8ED7-62C3396F8B9D}"/>
            </a:ext>
          </a:extLst>
        </xdr:cNvPr>
        <xdr:cNvSpPr/>
      </xdr:nvSpPr>
      <xdr:spPr>
        <a:xfrm>
          <a:off x="40335200" y="2374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762000</xdr:colOff>
      <xdr:row>26</xdr:row>
      <xdr:rowOff>50799</xdr:rowOff>
    </xdr:from>
    <xdr:to>
      <xdr:col>51</xdr:col>
      <xdr:colOff>165100</xdr:colOff>
      <xdr:row>29</xdr:row>
      <xdr:rowOff>46858</xdr:rowOff>
    </xdr:to>
    <xdr:sp macro="" textlink="">
      <xdr:nvSpPr>
        <xdr:cNvPr id="12" name="Rectangle 11">
          <a:extLst>
            <a:ext uri="{FF2B5EF4-FFF2-40B4-BE49-F238E27FC236}">
              <a16:creationId xmlns:a16="http://schemas.microsoft.com/office/drawing/2014/main" id="{90324A55-710E-D24F-9164-0C4724C7AA4B}"/>
            </a:ext>
          </a:extLst>
        </xdr:cNvPr>
        <xdr:cNvSpPr/>
      </xdr:nvSpPr>
      <xdr:spPr>
        <a:xfrm>
          <a:off x="40386000" y="5003799"/>
          <a:ext cx="1879600" cy="567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596900</xdr:colOff>
      <xdr:row>26</xdr:row>
      <xdr:rowOff>63500</xdr:rowOff>
    </xdr:from>
    <xdr:to>
      <xdr:col>46</xdr:col>
      <xdr:colOff>0</xdr:colOff>
      <xdr:row>28</xdr:row>
      <xdr:rowOff>139700</xdr:rowOff>
    </xdr:to>
    <xdr:sp macro="" textlink="">
      <xdr:nvSpPr>
        <xdr:cNvPr id="13" name="Rectangle 12">
          <a:extLst>
            <a:ext uri="{FF2B5EF4-FFF2-40B4-BE49-F238E27FC236}">
              <a16:creationId xmlns:a16="http://schemas.microsoft.com/office/drawing/2014/main" id="{EB7C710B-8AC7-CF49-B675-916C7D6E58F3}"/>
            </a:ext>
          </a:extLst>
        </xdr:cNvPr>
        <xdr:cNvSpPr/>
      </xdr:nvSpPr>
      <xdr:spPr>
        <a:xfrm>
          <a:off x="36093400" y="50165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88900</xdr:colOff>
      <xdr:row>26</xdr:row>
      <xdr:rowOff>50800</xdr:rowOff>
    </xdr:from>
    <xdr:to>
      <xdr:col>38</xdr:col>
      <xdr:colOff>317500</xdr:colOff>
      <xdr:row>28</xdr:row>
      <xdr:rowOff>127000</xdr:rowOff>
    </xdr:to>
    <xdr:sp macro="" textlink="">
      <xdr:nvSpPr>
        <xdr:cNvPr id="14" name="Rectangle 13">
          <a:extLst>
            <a:ext uri="{FF2B5EF4-FFF2-40B4-BE49-F238E27FC236}">
              <a16:creationId xmlns:a16="http://schemas.microsoft.com/office/drawing/2014/main" id="{659E12D2-A5C8-4C43-98A2-D11AD7ACBBE1}"/>
            </a:ext>
          </a:extLst>
        </xdr:cNvPr>
        <xdr:cNvSpPr/>
      </xdr:nvSpPr>
      <xdr:spPr>
        <a:xfrm>
          <a:off x="29806900" y="50038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50800</xdr:colOff>
      <xdr:row>26</xdr:row>
      <xdr:rowOff>63500</xdr:rowOff>
    </xdr:from>
    <xdr:to>
      <xdr:col>43</xdr:col>
      <xdr:colOff>482600</xdr:colOff>
      <xdr:row>28</xdr:row>
      <xdr:rowOff>139700</xdr:rowOff>
    </xdr:to>
    <xdr:sp macro="" textlink="">
      <xdr:nvSpPr>
        <xdr:cNvPr id="15" name="Rectangle 14">
          <a:extLst>
            <a:ext uri="{FF2B5EF4-FFF2-40B4-BE49-F238E27FC236}">
              <a16:creationId xmlns:a16="http://schemas.microsoft.com/office/drawing/2014/main" id="{F84D3D93-B05E-D944-B86B-0A31F1649838}"/>
            </a:ext>
          </a:extLst>
        </xdr:cNvPr>
        <xdr:cNvSpPr/>
      </xdr:nvSpPr>
      <xdr:spPr>
        <a:xfrm>
          <a:off x="33896300" y="5016500"/>
          <a:ext cx="20828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0</xdr:colOff>
      <xdr:row>1</xdr:row>
      <xdr:rowOff>0</xdr:rowOff>
    </xdr:from>
    <xdr:to>
      <xdr:col>68</xdr:col>
      <xdr:colOff>431800</xdr:colOff>
      <xdr:row>32</xdr:row>
      <xdr:rowOff>76200</xdr:rowOff>
    </xdr:to>
    <xdr:graphicFrame macro="">
      <xdr:nvGraphicFramePr>
        <xdr:cNvPr id="16" name="Chart 15">
          <a:extLst>
            <a:ext uri="{FF2B5EF4-FFF2-40B4-BE49-F238E27FC236}">
              <a16:creationId xmlns:a16="http://schemas.microsoft.com/office/drawing/2014/main" id="{9A79D692-D02A-7147-86CE-A528DD40D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495300</xdr:colOff>
      <xdr:row>23</xdr:row>
      <xdr:rowOff>127000</xdr:rowOff>
    </xdr:from>
    <xdr:to>
      <xdr:col>57</xdr:col>
      <xdr:colOff>723900</xdr:colOff>
      <xdr:row>25</xdr:row>
      <xdr:rowOff>114300</xdr:rowOff>
    </xdr:to>
    <xdr:sp macro="" textlink="">
      <xdr:nvSpPr>
        <xdr:cNvPr id="17" name="Rectangle 16">
          <a:extLst>
            <a:ext uri="{FF2B5EF4-FFF2-40B4-BE49-F238E27FC236}">
              <a16:creationId xmlns:a16="http://schemas.microsoft.com/office/drawing/2014/main" id="{472B703A-EFAA-4F45-8846-5403CA2BD951}"/>
            </a:ext>
          </a:extLst>
        </xdr:cNvPr>
        <xdr:cNvSpPr/>
      </xdr:nvSpPr>
      <xdr:spPr>
        <a:xfrm>
          <a:off x="458978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342900</xdr:colOff>
      <xdr:row>23</xdr:row>
      <xdr:rowOff>139700</xdr:rowOff>
    </xdr:from>
    <xdr:to>
      <xdr:col>65</xdr:col>
      <xdr:colOff>571500</xdr:colOff>
      <xdr:row>25</xdr:row>
      <xdr:rowOff>127000</xdr:rowOff>
    </xdr:to>
    <xdr:sp macro="" textlink="">
      <xdr:nvSpPr>
        <xdr:cNvPr id="18" name="Rectangle 17">
          <a:extLst>
            <a:ext uri="{FF2B5EF4-FFF2-40B4-BE49-F238E27FC236}">
              <a16:creationId xmlns:a16="http://schemas.microsoft.com/office/drawing/2014/main" id="{AC059834-1FEF-C24E-874F-53A0DA771682}"/>
            </a:ext>
          </a:extLst>
        </xdr:cNvPr>
        <xdr:cNvSpPr/>
      </xdr:nvSpPr>
      <xdr:spPr>
        <a:xfrm>
          <a:off x="52349400" y="4521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393700</xdr:colOff>
      <xdr:row>23</xdr:row>
      <xdr:rowOff>152400</xdr:rowOff>
    </xdr:from>
    <xdr:to>
      <xdr:col>62</xdr:col>
      <xdr:colOff>622300</xdr:colOff>
      <xdr:row>25</xdr:row>
      <xdr:rowOff>139700</xdr:rowOff>
    </xdr:to>
    <xdr:sp macro="" textlink="">
      <xdr:nvSpPr>
        <xdr:cNvPr id="19" name="Rectangle 18">
          <a:extLst>
            <a:ext uri="{FF2B5EF4-FFF2-40B4-BE49-F238E27FC236}">
              <a16:creationId xmlns:a16="http://schemas.microsoft.com/office/drawing/2014/main" id="{08064CE3-891C-744D-9CB1-D6F968452488}"/>
            </a:ext>
          </a:extLst>
        </xdr:cNvPr>
        <xdr:cNvSpPr/>
      </xdr:nvSpPr>
      <xdr:spPr>
        <a:xfrm>
          <a:off x="49923700" y="4533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482600</xdr:colOff>
      <xdr:row>23</xdr:row>
      <xdr:rowOff>127000</xdr:rowOff>
    </xdr:from>
    <xdr:to>
      <xdr:col>67</xdr:col>
      <xdr:colOff>711200</xdr:colOff>
      <xdr:row>25</xdr:row>
      <xdr:rowOff>114300</xdr:rowOff>
    </xdr:to>
    <xdr:sp macro="" textlink="">
      <xdr:nvSpPr>
        <xdr:cNvPr id="20" name="Rectangle 19">
          <a:extLst>
            <a:ext uri="{FF2B5EF4-FFF2-40B4-BE49-F238E27FC236}">
              <a16:creationId xmlns:a16="http://schemas.microsoft.com/office/drawing/2014/main" id="{E8DF5D4E-F216-9148-8BFC-34780CCC744F}"/>
            </a:ext>
          </a:extLst>
        </xdr:cNvPr>
        <xdr:cNvSpPr/>
      </xdr:nvSpPr>
      <xdr:spPr>
        <a:xfrm>
          <a:off x="541401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584200</xdr:colOff>
      <xdr:row>26</xdr:row>
      <xdr:rowOff>63500</xdr:rowOff>
    </xdr:from>
    <xdr:to>
      <xdr:col>68</xdr:col>
      <xdr:colOff>228600</xdr:colOff>
      <xdr:row>28</xdr:row>
      <xdr:rowOff>139700</xdr:rowOff>
    </xdr:to>
    <xdr:sp macro="" textlink="">
      <xdr:nvSpPr>
        <xdr:cNvPr id="21" name="Rectangle 20">
          <a:extLst>
            <a:ext uri="{FF2B5EF4-FFF2-40B4-BE49-F238E27FC236}">
              <a16:creationId xmlns:a16="http://schemas.microsoft.com/office/drawing/2014/main" id="{44DC3385-039B-5B44-801E-C275DE0E6EDE}"/>
            </a:ext>
          </a:extLst>
        </xdr:cNvPr>
        <xdr:cNvSpPr/>
      </xdr:nvSpPr>
      <xdr:spPr>
        <a:xfrm>
          <a:off x="54241700" y="5016500"/>
          <a:ext cx="21209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419100</xdr:colOff>
      <xdr:row>26</xdr:row>
      <xdr:rowOff>76200</xdr:rowOff>
    </xdr:from>
    <xdr:to>
      <xdr:col>62</xdr:col>
      <xdr:colOff>647700</xdr:colOff>
      <xdr:row>28</xdr:row>
      <xdr:rowOff>63500</xdr:rowOff>
    </xdr:to>
    <xdr:sp macro="" textlink="">
      <xdr:nvSpPr>
        <xdr:cNvPr id="22" name="Rectangle 21">
          <a:extLst>
            <a:ext uri="{FF2B5EF4-FFF2-40B4-BE49-F238E27FC236}">
              <a16:creationId xmlns:a16="http://schemas.microsoft.com/office/drawing/2014/main" id="{EB555FEA-4074-0F45-A99C-68FACC369C01}"/>
            </a:ext>
          </a:extLst>
        </xdr:cNvPr>
        <xdr:cNvSpPr/>
      </xdr:nvSpPr>
      <xdr:spPr>
        <a:xfrm>
          <a:off x="49949100" y="5029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190500</xdr:colOff>
      <xdr:row>26</xdr:row>
      <xdr:rowOff>25400</xdr:rowOff>
    </xdr:from>
    <xdr:to>
      <xdr:col>57</xdr:col>
      <xdr:colOff>635000</xdr:colOff>
      <xdr:row>28</xdr:row>
      <xdr:rowOff>12700</xdr:rowOff>
    </xdr:to>
    <xdr:sp macro="" textlink="">
      <xdr:nvSpPr>
        <xdr:cNvPr id="23" name="Rectangle 22">
          <a:extLst>
            <a:ext uri="{FF2B5EF4-FFF2-40B4-BE49-F238E27FC236}">
              <a16:creationId xmlns:a16="http://schemas.microsoft.com/office/drawing/2014/main" id="{50174B64-F454-764E-B8F4-A99A117CE74A}"/>
            </a:ext>
          </a:extLst>
        </xdr:cNvPr>
        <xdr:cNvSpPr/>
      </xdr:nvSpPr>
      <xdr:spPr>
        <a:xfrm>
          <a:off x="45593000" y="4978400"/>
          <a:ext cx="20955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254000</xdr:colOff>
      <xdr:row>27</xdr:row>
      <xdr:rowOff>25400</xdr:rowOff>
    </xdr:from>
    <xdr:to>
      <xdr:col>65</xdr:col>
      <xdr:colOff>482600</xdr:colOff>
      <xdr:row>29</xdr:row>
      <xdr:rowOff>12700</xdr:rowOff>
    </xdr:to>
    <xdr:sp macro="" textlink="">
      <xdr:nvSpPr>
        <xdr:cNvPr id="24" name="Rectangle 23">
          <a:extLst>
            <a:ext uri="{FF2B5EF4-FFF2-40B4-BE49-F238E27FC236}">
              <a16:creationId xmlns:a16="http://schemas.microsoft.com/office/drawing/2014/main" id="{A4318D01-BBCD-BF46-B6D7-2482BEFF1456}"/>
            </a:ext>
          </a:extLst>
        </xdr:cNvPr>
        <xdr:cNvSpPr/>
      </xdr:nvSpPr>
      <xdr:spPr>
        <a:xfrm>
          <a:off x="52260500" y="5168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241300</xdr:colOff>
      <xdr:row>26</xdr:row>
      <xdr:rowOff>38100</xdr:rowOff>
    </xdr:from>
    <xdr:to>
      <xdr:col>65</xdr:col>
      <xdr:colOff>469900</xdr:colOff>
      <xdr:row>28</xdr:row>
      <xdr:rowOff>25400</xdr:rowOff>
    </xdr:to>
    <xdr:sp macro="" textlink="">
      <xdr:nvSpPr>
        <xdr:cNvPr id="25" name="Rectangle 24">
          <a:extLst>
            <a:ext uri="{FF2B5EF4-FFF2-40B4-BE49-F238E27FC236}">
              <a16:creationId xmlns:a16="http://schemas.microsoft.com/office/drawing/2014/main" id="{8022AECB-2FE1-CC4A-8593-E8E17A335B33}"/>
            </a:ext>
          </a:extLst>
        </xdr:cNvPr>
        <xdr:cNvSpPr/>
      </xdr:nvSpPr>
      <xdr:spPr>
        <a:xfrm>
          <a:off x="52247800" y="4991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41</xdr:row>
      <xdr:rowOff>0</xdr:rowOff>
    </xdr:from>
    <xdr:to>
      <xdr:col>25</xdr:col>
      <xdr:colOff>431800</xdr:colOff>
      <xdr:row>72</xdr:row>
      <xdr:rowOff>50800</xdr:rowOff>
    </xdr:to>
    <xdr:graphicFrame macro="">
      <xdr:nvGraphicFramePr>
        <xdr:cNvPr id="26" name="Chart 25">
          <a:extLst>
            <a:ext uri="{FF2B5EF4-FFF2-40B4-BE49-F238E27FC236}">
              <a16:creationId xmlns:a16="http://schemas.microsoft.com/office/drawing/2014/main" id="{85925E09-6F89-B74C-8955-43A527531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152400</xdr:colOff>
      <xdr:row>28</xdr:row>
      <xdr:rowOff>165100</xdr:rowOff>
    </xdr:from>
    <xdr:to>
      <xdr:col>65</xdr:col>
      <xdr:colOff>381000</xdr:colOff>
      <xdr:row>30</xdr:row>
      <xdr:rowOff>152400</xdr:rowOff>
    </xdr:to>
    <xdr:sp macro="" textlink="">
      <xdr:nvSpPr>
        <xdr:cNvPr id="27" name="Rectangle 26">
          <a:extLst>
            <a:ext uri="{FF2B5EF4-FFF2-40B4-BE49-F238E27FC236}">
              <a16:creationId xmlns:a16="http://schemas.microsoft.com/office/drawing/2014/main" id="{7F275A4B-27F6-2449-A6B0-C55DD63C4D62}"/>
            </a:ext>
          </a:extLst>
        </xdr:cNvPr>
        <xdr:cNvSpPr/>
      </xdr:nvSpPr>
      <xdr:spPr>
        <a:xfrm>
          <a:off x="52158900" y="5499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219364</xdr:colOff>
      <xdr:row>1</xdr:row>
      <xdr:rowOff>242454</xdr:rowOff>
    </xdr:from>
    <xdr:to>
      <xdr:col>11</xdr:col>
      <xdr:colOff>551231</xdr:colOff>
      <xdr:row>3</xdr:row>
      <xdr:rowOff>23091</xdr:rowOff>
    </xdr:to>
    <xdr:pic>
      <xdr:nvPicPr>
        <xdr:cNvPr id="5" name="Picture 4">
          <a:hlinkClick xmlns:r="http://schemas.openxmlformats.org/officeDocument/2006/relationships" r:id="rId1"/>
          <a:extLst>
            <a:ext uri="{FF2B5EF4-FFF2-40B4-BE49-F238E27FC236}">
              <a16:creationId xmlns:a16="http://schemas.microsoft.com/office/drawing/2014/main" id="{7417BD95-14F2-4640-A73E-C0CB9A310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99819" y="438727"/>
          <a:ext cx="1163139" cy="438728"/>
        </a:xfrm>
        <a:prstGeom prst="rect">
          <a:avLst/>
        </a:prstGeom>
        <a:ln w="12700">
          <a:solidFill>
            <a:schemeClr val="tx1"/>
          </a:solidFill>
        </a:ln>
        <a:effectLst>
          <a:softEdge rad="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381000</xdr:colOff>
      <xdr:row>1</xdr:row>
      <xdr:rowOff>150091</xdr:rowOff>
    </xdr:from>
    <xdr:to>
      <xdr:col>7</xdr:col>
      <xdr:colOff>712866</xdr:colOff>
      <xdr:row>3</xdr:row>
      <xdr:rowOff>80819</xdr:rowOff>
    </xdr:to>
    <xdr:pic>
      <xdr:nvPicPr>
        <xdr:cNvPr id="6" name="Picture 5">
          <a:hlinkClick xmlns:r="http://schemas.openxmlformats.org/officeDocument/2006/relationships" r:id="rId1"/>
          <a:extLst>
            <a:ext uri="{FF2B5EF4-FFF2-40B4-BE49-F238E27FC236}">
              <a16:creationId xmlns:a16="http://schemas.microsoft.com/office/drawing/2014/main" id="{8DDAF95C-046D-7246-A2BF-51763AA276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93909" y="346364"/>
          <a:ext cx="1163139" cy="438728"/>
        </a:xfrm>
        <a:prstGeom prst="rect">
          <a:avLst/>
        </a:prstGeom>
        <a:ln w="12700">
          <a:solidFill>
            <a:schemeClr val="tx1"/>
          </a:solidFill>
        </a:ln>
        <a:effectLst>
          <a:softEdge rad="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138545</xdr:colOff>
      <xdr:row>0</xdr:row>
      <xdr:rowOff>69273</xdr:rowOff>
    </xdr:from>
    <xdr:to>
      <xdr:col>4</xdr:col>
      <xdr:colOff>574320</xdr:colOff>
      <xdr:row>1</xdr:row>
      <xdr:rowOff>207819</xdr:rowOff>
    </xdr:to>
    <xdr:pic>
      <xdr:nvPicPr>
        <xdr:cNvPr id="3" name="Picture 2">
          <a:hlinkClick xmlns:r="http://schemas.openxmlformats.org/officeDocument/2006/relationships" r:id="rId1"/>
          <a:extLst>
            <a:ext uri="{FF2B5EF4-FFF2-40B4-BE49-F238E27FC236}">
              <a16:creationId xmlns:a16="http://schemas.microsoft.com/office/drawing/2014/main" id="{39EA8D12-B44F-AE44-A46A-96C974B22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8454" y="69273"/>
          <a:ext cx="1163139" cy="438728"/>
        </a:xfrm>
        <a:prstGeom prst="rect">
          <a:avLst/>
        </a:prstGeom>
        <a:ln w="12700">
          <a:solidFill>
            <a:schemeClr val="tx1"/>
          </a:solidFill>
        </a:ln>
        <a:effectLst>
          <a:softEdge rad="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300183</xdr:colOff>
      <xdr:row>2</xdr:row>
      <xdr:rowOff>138547</xdr:rowOff>
    </xdr:from>
    <xdr:to>
      <xdr:col>38</xdr:col>
      <xdr:colOff>585867</xdr:colOff>
      <xdr:row>4</xdr:row>
      <xdr:rowOff>46184</xdr:rowOff>
    </xdr:to>
    <xdr:pic>
      <xdr:nvPicPr>
        <xdr:cNvPr id="4" name="Picture 3">
          <a:hlinkClick xmlns:r="http://schemas.openxmlformats.org/officeDocument/2006/relationships" r:id="rId1"/>
          <a:extLst>
            <a:ext uri="{FF2B5EF4-FFF2-40B4-BE49-F238E27FC236}">
              <a16:creationId xmlns:a16="http://schemas.microsoft.com/office/drawing/2014/main" id="{DD2F63C5-3959-F14F-B9E5-93D8A92AA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5092" y="600365"/>
          <a:ext cx="1163139" cy="438728"/>
        </a:xfrm>
        <a:prstGeom prst="rect">
          <a:avLst/>
        </a:prstGeom>
        <a:ln w="12700">
          <a:solidFill>
            <a:schemeClr val="tx1"/>
          </a:solidFill>
        </a:ln>
        <a:effectLst>
          <a:softEdge rad="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1027545</xdr:colOff>
      <xdr:row>2</xdr:row>
      <xdr:rowOff>57728</xdr:rowOff>
    </xdr:from>
    <xdr:to>
      <xdr:col>1</xdr:col>
      <xdr:colOff>2190684</xdr:colOff>
      <xdr:row>3</xdr:row>
      <xdr:rowOff>230910</xdr:rowOff>
    </xdr:to>
    <xdr:pic>
      <xdr:nvPicPr>
        <xdr:cNvPr id="3" name="Picture 2">
          <a:hlinkClick xmlns:r="http://schemas.openxmlformats.org/officeDocument/2006/relationships" r:id="rId1"/>
          <a:extLst>
            <a:ext uri="{FF2B5EF4-FFF2-40B4-BE49-F238E27FC236}">
              <a16:creationId xmlns:a16="http://schemas.microsoft.com/office/drawing/2014/main" id="{BD120C05-A51D-3743-842F-A4AA24AB6F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4727" y="519546"/>
          <a:ext cx="1163139" cy="438728"/>
        </a:xfrm>
        <a:prstGeom prst="rect">
          <a:avLst/>
        </a:prstGeom>
        <a:ln w="12700">
          <a:solidFill>
            <a:schemeClr val="tx1"/>
          </a:solidFill>
        </a:ln>
        <a:effectLst>
          <a:softEdge rad="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1731818</xdr:colOff>
      <xdr:row>2</xdr:row>
      <xdr:rowOff>69273</xdr:rowOff>
    </xdr:from>
    <xdr:to>
      <xdr:col>1</xdr:col>
      <xdr:colOff>2894957</xdr:colOff>
      <xdr:row>3</xdr:row>
      <xdr:rowOff>242455</xdr:rowOff>
    </xdr:to>
    <xdr:pic>
      <xdr:nvPicPr>
        <xdr:cNvPr id="3" name="Picture 2">
          <a:hlinkClick xmlns:r="http://schemas.openxmlformats.org/officeDocument/2006/relationships" r:id="rId1"/>
          <a:extLst>
            <a:ext uri="{FF2B5EF4-FFF2-40B4-BE49-F238E27FC236}">
              <a16:creationId xmlns:a16="http://schemas.microsoft.com/office/drawing/2014/main" id="{3E8F839C-A8CD-9748-859A-222FED514D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0454" y="531091"/>
          <a:ext cx="1163139" cy="438728"/>
        </a:xfrm>
        <a:prstGeom prst="rect">
          <a:avLst/>
        </a:prstGeom>
        <a:ln w="12700">
          <a:solidFill>
            <a:schemeClr val="tx1"/>
          </a:solidFill>
        </a:ln>
        <a:effectLst>
          <a:softEdge rad="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rkseavert/Downloads/Integrated%20Guayule%20Model%20v2.1%205_23_19_EG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Inputs"/>
      <sheetName val="Conversions"/>
      <sheetName val="200 - Backup Calcs"/>
      <sheetName val="Properties"/>
      <sheetName val="Figures"/>
      <sheetName val="Data Repository"/>
      <sheetName val="Scenario 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eavert, Clark F" id="{0EDEBF65-E47C-8745-BD87-C3A735306BE9}" userId="S::seavertc@oregonstate.edu::44f08563-f015-494e-aa6b-0f02867c10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3" dT="2020-11-13T14:35:46.44" personId="{0EDEBF65-E47C-8745-BD87-C3A735306BE9}" id="{0714F691-805F-AB4B-B131-9D54BB46BEAD}">
    <text>Crop      lb./acre   price/lb
barley        20        0.15
oats           20        0.60
sunflower    1        0.95
peas          40      0.295
turnip      1.25        1.30</text>
  </threadedComment>
  <threadedComment ref="I14" dT="2020-11-13T14:38:33.02" personId="{0EDEBF65-E47C-8745-BD87-C3A735306BE9}" id="{75A1967C-0715-A542-A5BE-2386F60BD633}">
    <text>Crop      lb./acre   price/lb
oats           20        0.60
peas          40      0.295
crimson clover dixie
                    1        0.95
turnip      1.25        1.30
radish     1.25        1.20</text>
  </threadedComment>
</ThreadedComments>
</file>

<file path=xl/threadedComments/threadedComment2.xml><?xml version="1.0" encoding="utf-8"?>
<ThreadedComments xmlns="http://schemas.microsoft.com/office/spreadsheetml/2018/threadedcomments" xmlns:x="http://schemas.openxmlformats.org/spreadsheetml/2006/main">
  <threadedComment ref="Q7" dT="2021-07-24T19:22:40.36" personId="{0EDEBF65-E47C-8745-BD87-C3A735306BE9}" id="{667111DD-542D-AB4A-ADC2-19EB94459C0D}">
    <text>No reference to shredder in UI Budgets, hard coded 115 hours</text>
  </threadedComment>
  <threadedComment ref="Q8" dT="2021-07-24T19:23:34.75" personId="{0EDEBF65-E47C-8745-BD87-C3A735306BE9}" id="{C5CFBD13-DD76-C649-8584-CB7F7E364BE4}">
    <text>No reference to harrow in UI Budgets, hard coded 75 hours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hyperlink" Target="https://www.uidaho.edu/cals/idaho-agbiz/crop-budget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43BE-FD09-424A-901E-1E4FE03AA5C2}">
  <sheetPr>
    <pageSetUpPr fitToPage="1"/>
  </sheetPr>
  <dimension ref="A1:U161"/>
  <sheetViews>
    <sheetView tabSelected="1" zoomScale="140" zoomScaleNormal="140" workbookViewId="0">
      <selection activeCell="B1" sqref="B1:M2"/>
    </sheetView>
  </sheetViews>
  <sheetFormatPr baseColWidth="10" defaultColWidth="10.83203125" defaultRowHeight="15"/>
  <cols>
    <col min="1" max="1" width="3.1640625" customWidth="1"/>
    <col min="11" max="11" width="9.1640625" customWidth="1"/>
    <col min="12" max="12" width="9.83203125" customWidth="1"/>
    <col min="13" max="13" width="10.83203125" customWidth="1"/>
    <col min="15" max="21" width="10.83203125" style="3"/>
  </cols>
  <sheetData>
    <row r="1" spans="1:15" ht="15" customHeight="1">
      <c r="A1" s="3"/>
      <c r="B1" s="580" t="s">
        <v>390</v>
      </c>
      <c r="C1" s="580"/>
      <c r="D1" s="580"/>
      <c r="E1" s="580"/>
      <c r="F1" s="580"/>
      <c r="G1" s="580"/>
      <c r="H1" s="580"/>
      <c r="I1" s="580"/>
      <c r="J1" s="580"/>
      <c r="K1" s="580"/>
      <c r="L1" s="580"/>
      <c r="M1" s="580"/>
      <c r="N1" s="3"/>
    </row>
    <row r="2" spans="1:15" ht="15" customHeight="1">
      <c r="A2" s="3"/>
      <c r="B2" s="580"/>
      <c r="C2" s="580"/>
      <c r="D2" s="580"/>
      <c r="E2" s="580"/>
      <c r="F2" s="580"/>
      <c r="G2" s="580"/>
      <c r="H2" s="580"/>
      <c r="I2" s="580"/>
      <c r="J2" s="580"/>
      <c r="K2" s="580"/>
      <c r="L2" s="580"/>
      <c r="M2" s="580"/>
      <c r="N2" s="578"/>
      <c r="O2" s="578"/>
    </row>
    <row r="3" spans="1:15" ht="15" customHeight="1">
      <c r="A3" s="3"/>
      <c r="B3" s="372"/>
      <c r="C3" s="372"/>
      <c r="D3" s="372"/>
      <c r="E3" s="372"/>
      <c r="F3" s="372"/>
      <c r="G3" s="372"/>
      <c r="H3" s="372"/>
      <c r="I3" s="372"/>
      <c r="J3" s="372"/>
      <c r="K3" s="372"/>
      <c r="L3" s="578"/>
      <c r="M3" s="578"/>
      <c r="N3" s="578"/>
      <c r="O3" s="578"/>
    </row>
    <row r="4" spans="1:15" ht="15" customHeight="1">
      <c r="A4" s="3"/>
      <c r="B4" s="582" t="s">
        <v>285</v>
      </c>
      <c r="C4" s="582"/>
      <c r="D4" s="582"/>
      <c r="E4" s="582"/>
      <c r="F4" s="582"/>
      <c r="G4" s="582"/>
      <c r="H4" s="582"/>
      <c r="I4" s="582"/>
      <c r="J4" s="582"/>
      <c r="K4" s="582"/>
      <c r="L4" s="582"/>
      <c r="M4" s="582"/>
      <c r="N4" s="578"/>
      <c r="O4" s="578"/>
    </row>
    <row r="5" spans="1:15" ht="15" customHeight="1">
      <c r="A5" s="3"/>
      <c r="B5" s="581" t="s">
        <v>286</v>
      </c>
      <c r="C5" s="581"/>
      <c r="D5" s="581"/>
      <c r="E5" s="581"/>
      <c r="F5" s="581"/>
      <c r="G5" s="581"/>
      <c r="H5" s="581"/>
      <c r="I5" s="581"/>
      <c r="J5" s="581"/>
      <c r="K5" s="581"/>
      <c r="L5" s="581"/>
      <c r="M5" s="581"/>
      <c r="N5" s="3"/>
    </row>
    <row r="6" spans="1:15" ht="15" customHeight="1">
      <c r="A6" s="3"/>
      <c r="B6" s="367"/>
      <c r="C6" s="368"/>
      <c r="D6" s="369"/>
      <c r="E6" s="369"/>
      <c r="F6" s="369"/>
      <c r="G6" s="369"/>
      <c r="H6" s="369"/>
      <c r="I6" s="369"/>
      <c r="J6" s="369"/>
      <c r="K6" s="369"/>
      <c r="L6" s="368"/>
      <c r="M6" s="368"/>
      <c r="N6" s="3"/>
    </row>
    <row r="7" spans="1:15" ht="15" customHeight="1">
      <c r="A7" s="3"/>
      <c r="B7" s="584" t="s">
        <v>371</v>
      </c>
      <c r="C7" s="584"/>
      <c r="D7" s="584"/>
      <c r="E7" s="584"/>
      <c r="F7" s="584"/>
      <c r="G7" s="584"/>
      <c r="H7" s="584"/>
      <c r="I7" s="584"/>
      <c r="J7" s="584"/>
      <c r="K7" s="584"/>
      <c r="L7" s="584"/>
      <c r="M7" s="584"/>
      <c r="N7" s="3"/>
    </row>
    <row r="8" spans="1:15" ht="15" customHeight="1">
      <c r="A8" s="3"/>
      <c r="B8" s="584"/>
      <c r="C8" s="584"/>
      <c r="D8" s="584"/>
      <c r="E8" s="584"/>
      <c r="F8" s="584"/>
      <c r="G8" s="584"/>
      <c r="H8" s="584"/>
      <c r="I8" s="584"/>
      <c r="J8" s="584"/>
      <c r="K8" s="584"/>
      <c r="L8" s="584"/>
      <c r="M8" s="584"/>
      <c r="N8" s="3"/>
    </row>
    <row r="9" spans="1:15" ht="15" customHeight="1">
      <c r="A9" s="3"/>
      <c r="B9" s="370"/>
      <c r="C9" s="370"/>
      <c r="D9" s="370"/>
      <c r="E9" s="370"/>
      <c r="F9" s="370"/>
      <c r="G9" s="370"/>
      <c r="H9" s="370"/>
      <c r="I9" s="370"/>
      <c r="J9" s="370"/>
      <c r="K9" s="370"/>
      <c r="L9" s="3"/>
      <c r="M9" s="3"/>
      <c r="N9" s="3"/>
    </row>
    <row r="10" spans="1:15" ht="15" customHeight="1">
      <c r="A10" s="3"/>
      <c r="B10" s="585" t="s">
        <v>385</v>
      </c>
      <c r="C10" s="585"/>
      <c r="D10" s="585"/>
      <c r="E10" s="585"/>
      <c r="F10" s="585"/>
      <c r="G10" s="585"/>
      <c r="H10" s="585"/>
      <c r="I10" s="585"/>
      <c r="J10" s="585"/>
      <c r="K10" s="585"/>
      <c r="L10" s="585"/>
      <c r="M10" s="585"/>
      <c r="N10" s="3"/>
    </row>
    <row r="11" spans="1:15" ht="15" customHeight="1">
      <c r="A11" s="3"/>
      <c r="B11" s="585"/>
      <c r="C11" s="585"/>
      <c r="D11" s="585"/>
      <c r="E11" s="585"/>
      <c r="F11" s="585"/>
      <c r="G11" s="585"/>
      <c r="H11" s="585"/>
      <c r="I11" s="585"/>
      <c r="J11" s="585"/>
      <c r="K11" s="585"/>
      <c r="L11" s="585"/>
      <c r="M11" s="585"/>
      <c r="N11" s="3"/>
    </row>
    <row r="12" spans="1:15" ht="15" customHeight="1">
      <c r="A12" s="3"/>
      <c r="B12" s="585"/>
      <c r="C12" s="585"/>
      <c r="D12" s="585"/>
      <c r="E12" s="585"/>
      <c r="F12" s="585"/>
      <c r="G12" s="585"/>
      <c r="H12" s="585"/>
      <c r="I12" s="585"/>
      <c r="J12" s="585"/>
      <c r="K12" s="585"/>
      <c r="L12" s="585"/>
      <c r="M12" s="585"/>
      <c r="N12" s="3"/>
    </row>
    <row r="13" spans="1:15" ht="15" customHeight="1">
      <c r="A13" s="3"/>
      <c r="B13" s="585"/>
      <c r="C13" s="585"/>
      <c r="D13" s="585"/>
      <c r="E13" s="585"/>
      <c r="F13" s="585"/>
      <c r="G13" s="585"/>
      <c r="H13" s="585"/>
      <c r="I13" s="585"/>
      <c r="J13" s="585"/>
      <c r="K13" s="585"/>
      <c r="L13" s="585"/>
      <c r="M13" s="585"/>
      <c r="N13" s="3"/>
    </row>
    <row r="14" spans="1:15" ht="15" customHeight="1">
      <c r="A14" s="3"/>
      <c r="B14" s="585"/>
      <c r="C14" s="585"/>
      <c r="D14" s="585"/>
      <c r="E14" s="585"/>
      <c r="F14" s="585"/>
      <c r="G14" s="585"/>
      <c r="H14" s="585"/>
      <c r="I14" s="585"/>
      <c r="J14" s="585"/>
      <c r="K14" s="585"/>
      <c r="L14" s="585"/>
      <c r="M14" s="585"/>
      <c r="N14" s="3"/>
    </row>
    <row r="15" spans="1:15" ht="15" customHeight="1">
      <c r="A15" s="3"/>
      <c r="B15" s="373"/>
      <c r="C15" s="373"/>
      <c r="D15" s="373"/>
      <c r="E15" s="373"/>
      <c r="F15" s="373"/>
      <c r="G15" s="373"/>
      <c r="H15" s="373"/>
      <c r="I15" s="373"/>
      <c r="J15" s="373"/>
      <c r="K15" s="374"/>
      <c r="L15" s="374"/>
      <c r="M15" s="374"/>
      <c r="N15" s="3"/>
    </row>
    <row r="16" spans="1:15" ht="15" customHeight="1">
      <c r="A16" s="3"/>
      <c r="B16" s="585" t="s">
        <v>372</v>
      </c>
      <c r="C16" s="585"/>
      <c r="D16" s="585"/>
      <c r="E16" s="585"/>
      <c r="F16" s="585"/>
      <c r="G16" s="585"/>
      <c r="H16" s="585"/>
      <c r="I16" s="585"/>
      <c r="J16" s="585"/>
      <c r="K16" s="585"/>
      <c r="L16" s="585"/>
      <c r="M16" s="585"/>
      <c r="N16" s="3"/>
    </row>
    <row r="17" spans="1:14" ht="15" customHeight="1">
      <c r="A17" s="3"/>
      <c r="B17" s="585"/>
      <c r="C17" s="585"/>
      <c r="D17" s="585"/>
      <c r="E17" s="585"/>
      <c r="F17" s="585"/>
      <c r="G17" s="585"/>
      <c r="H17" s="585"/>
      <c r="I17" s="585"/>
      <c r="J17" s="585"/>
      <c r="K17" s="585"/>
      <c r="L17" s="585"/>
      <c r="M17" s="585"/>
      <c r="N17" s="3"/>
    </row>
    <row r="18" spans="1:14" ht="15" customHeight="1">
      <c r="A18" s="3"/>
      <c r="B18" s="585"/>
      <c r="C18" s="585"/>
      <c r="D18" s="585"/>
      <c r="E18" s="585"/>
      <c r="F18" s="585"/>
      <c r="G18" s="585"/>
      <c r="H18" s="585"/>
      <c r="I18" s="585"/>
      <c r="J18" s="585"/>
      <c r="K18" s="585"/>
      <c r="L18" s="585"/>
      <c r="M18" s="585"/>
      <c r="N18" s="3"/>
    </row>
    <row r="19" spans="1:14" ht="15" customHeight="1">
      <c r="A19" s="3"/>
      <c r="B19" s="585"/>
      <c r="C19" s="585"/>
      <c r="D19" s="585"/>
      <c r="E19" s="585"/>
      <c r="F19" s="585"/>
      <c r="G19" s="585"/>
      <c r="H19" s="585"/>
      <c r="I19" s="585"/>
      <c r="J19" s="585"/>
      <c r="K19" s="585"/>
      <c r="L19" s="585"/>
      <c r="M19" s="585"/>
      <c r="N19" s="3"/>
    </row>
    <row r="20" spans="1:14" ht="15" customHeight="1">
      <c r="A20" s="3"/>
      <c r="B20" s="585"/>
      <c r="C20" s="585"/>
      <c r="D20" s="585"/>
      <c r="E20" s="585"/>
      <c r="F20" s="585"/>
      <c r="G20" s="585"/>
      <c r="H20" s="585"/>
      <c r="I20" s="585"/>
      <c r="J20" s="585"/>
      <c r="K20" s="585"/>
      <c r="L20" s="585"/>
      <c r="M20" s="585"/>
      <c r="N20" s="3"/>
    </row>
    <row r="21" spans="1:14" ht="15" customHeight="1">
      <c r="A21" s="3"/>
      <c r="B21" s="3"/>
      <c r="C21" s="3"/>
      <c r="D21" s="3"/>
      <c r="E21" s="3"/>
      <c r="F21" s="3"/>
      <c r="G21" s="3"/>
      <c r="H21" s="3"/>
      <c r="I21" s="3"/>
      <c r="J21" s="3"/>
      <c r="K21" s="3"/>
      <c r="L21" s="3"/>
      <c r="M21" s="3"/>
      <c r="N21" s="3"/>
    </row>
    <row r="22" spans="1:14" ht="15" customHeight="1">
      <c r="A22" s="3"/>
      <c r="B22" s="583" t="s">
        <v>288</v>
      </c>
      <c r="C22" s="583"/>
      <c r="D22" s="583"/>
      <c r="E22" s="583"/>
      <c r="F22" s="583"/>
      <c r="G22" s="583"/>
      <c r="H22" s="583"/>
      <c r="I22" s="583"/>
      <c r="J22" s="583"/>
      <c r="K22" s="583"/>
      <c r="L22" s="583"/>
      <c r="M22" s="583"/>
      <c r="N22" s="3"/>
    </row>
    <row r="23" spans="1:14" ht="15" customHeight="1">
      <c r="A23" s="3"/>
      <c r="B23" s="583"/>
      <c r="C23" s="583"/>
      <c r="D23" s="583"/>
      <c r="E23" s="583"/>
      <c r="F23" s="583"/>
      <c r="G23" s="583"/>
      <c r="H23" s="583"/>
      <c r="I23" s="583"/>
      <c r="J23" s="583"/>
      <c r="K23" s="583"/>
      <c r="L23" s="583"/>
      <c r="M23" s="583"/>
      <c r="N23" s="3"/>
    </row>
    <row r="24" spans="1:14" ht="15" customHeight="1">
      <c r="A24" s="3"/>
      <c r="B24" s="583"/>
      <c r="C24" s="583"/>
      <c r="D24" s="583"/>
      <c r="E24" s="583"/>
      <c r="F24" s="583"/>
      <c r="G24" s="583"/>
      <c r="H24" s="583"/>
      <c r="I24" s="583"/>
      <c r="J24" s="583"/>
      <c r="K24" s="583"/>
      <c r="L24" s="583"/>
      <c r="M24" s="583"/>
      <c r="N24" s="3"/>
    </row>
    <row r="25" spans="1:14" ht="15" customHeight="1">
      <c r="A25" s="3"/>
      <c r="B25" s="583"/>
      <c r="C25" s="583"/>
      <c r="D25" s="583"/>
      <c r="E25" s="583"/>
      <c r="F25" s="583"/>
      <c r="G25" s="583"/>
      <c r="H25" s="583"/>
      <c r="I25" s="583"/>
      <c r="J25" s="583"/>
      <c r="K25" s="583"/>
      <c r="L25" s="583"/>
      <c r="M25" s="583"/>
      <c r="N25" s="3"/>
    </row>
    <row r="26" spans="1:14" ht="15" customHeight="1">
      <c r="A26" s="3"/>
      <c r="B26" s="583"/>
      <c r="C26" s="583"/>
      <c r="D26" s="583"/>
      <c r="E26" s="583"/>
      <c r="F26" s="583"/>
      <c r="G26" s="583"/>
      <c r="H26" s="583"/>
      <c r="I26" s="583"/>
      <c r="J26" s="583"/>
      <c r="K26" s="583"/>
      <c r="L26" s="583"/>
      <c r="M26" s="583"/>
      <c r="N26" s="3"/>
    </row>
    <row r="27" spans="1:14" ht="15" customHeight="1">
      <c r="A27" s="3"/>
      <c r="B27" s="371"/>
      <c r="C27" s="371"/>
      <c r="D27" s="371"/>
      <c r="E27" s="371"/>
      <c r="F27" s="371"/>
      <c r="G27" s="371"/>
      <c r="H27" s="371"/>
      <c r="I27" s="371"/>
      <c r="J27" s="371"/>
      <c r="K27" s="371"/>
      <c r="L27" s="3"/>
      <c r="M27" s="3"/>
      <c r="N27" s="3"/>
    </row>
    <row r="28" spans="1:14" ht="15" customHeight="1">
      <c r="A28" s="3"/>
      <c r="B28" s="583" t="s">
        <v>287</v>
      </c>
      <c r="C28" s="583"/>
      <c r="D28" s="583"/>
      <c r="E28" s="583"/>
      <c r="F28" s="583"/>
      <c r="G28" s="583"/>
      <c r="H28" s="583"/>
      <c r="I28" s="583"/>
      <c r="J28" s="583"/>
      <c r="K28" s="583"/>
      <c r="L28" s="583"/>
      <c r="M28" s="583"/>
      <c r="N28" s="3"/>
    </row>
    <row r="29" spans="1:14" ht="15" customHeight="1">
      <c r="A29" s="3"/>
      <c r="B29" s="583"/>
      <c r="C29" s="583"/>
      <c r="D29" s="583"/>
      <c r="E29" s="583"/>
      <c r="F29" s="583"/>
      <c r="G29" s="583"/>
      <c r="H29" s="583"/>
      <c r="I29" s="583"/>
      <c r="J29" s="583"/>
      <c r="K29" s="583"/>
      <c r="L29" s="583"/>
      <c r="M29" s="583"/>
      <c r="N29" s="3"/>
    </row>
    <row r="30" spans="1:14" ht="15" customHeight="1">
      <c r="A30" s="3"/>
      <c r="B30" s="583"/>
      <c r="C30" s="583"/>
      <c r="D30" s="583"/>
      <c r="E30" s="583"/>
      <c r="F30" s="583"/>
      <c r="G30" s="583"/>
      <c r="H30" s="583"/>
      <c r="I30" s="583"/>
      <c r="J30" s="583"/>
      <c r="K30" s="583"/>
      <c r="L30" s="583"/>
      <c r="M30" s="583"/>
      <c r="N30" s="3"/>
    </row>
    <row r="31" spans="1:14">
      <c r="A31" s="3"/>
      <c r="B31" s="3"/>
      <c r="C31" s="3"/>
      <c r="D31" s="3"/>
      <c r="E31" s="3"/>
      <c r="F31" s="3"/>
      <c r="G31" s="3"/>
      <c r="H31" s="3"/>
      <c r="I31" s="3"/>
      <c r="J31" s="3"/>
      <c r="K31" s="3"/>
      <c r="L31" s="3"/>
      <c r="M31" s="3"/>
      <c r="N31" s="3"/>
    </row>
    <row r="32" spans="1:14">
      <c r="A32" s="3"/>
      <c r="B32" s="3"/>
      <c r="C32" s="3"/>
      <c r="D32" s="3"/>
      <c r="E32" s="3"/>
      <c r="F32" s="3"/>
      <c r="G32" s="3"/>
      <c r="H32" s="3"/>
      <c r="I32" s="3"/>
      <c r="J32" s="3"/>
      <c r="K32" s="3"/>
      <c r="L32" s="3"/>
      <c r="M32" s="3"/>
      <c r="N32" s="3"/>
    </row>
    <row r="33" spans="1:14">
      <c r="A33" s="3"/>
      <c r="B33" s="3"/>
      <c r="C33" s="3"/>
      <c r="D33" s="3"/>
      <c r="E33" s="3"/>
      <c r="F33" s="3"/>
      <c r="G33" s="3"/>
      <c r="H33" s="3"/>
      <c r="I33" s="3"/>
      <c r="J33" s="3"/>
      <c r="K33" s="3"/>
      <c r="L33" s="3"/>
      <c r="M33" s="3"/>
      <c r="N33" s="3"/>
    </row>
    <row r="34" spans="1:14">
      <c r="A34" s="3"/>
      <c r="B34" s="3"/>
      <c r="C34" s="3"/>
      <c r="D34" s="3"/>
      <c r="E34" s="3"/>
      <c r="F34" s="3"/>
      <c r="G34" s="3"/>
      <c r="H34" s="3"/>
      <c r="I34" s="3"/>
      <c r="J34" s="3"/>
      <c r="K34" s="3"/>
      <c r="L34" s="3"/>
      <c r="M34" s="3"/>
      <c r="N34" s="3"/>
    </row>
    <row r="35" spans="1:14">
      <c r="A35" s="3"/>
      <c r="B35" s="3"/>
      <c r="C35" s="3"/>
      <c r="D35" s="3"/>
      <c r="E35" s="3"/>
      <c r="F35" s="3"/>
      <c r="G35" s="3"/>
      <c r="H35" s="3"/>
      <c r="I35" s="3"/>
      <c r="J35" s="3"/>
      <c r="K35" s="3"/>
      <c r="L35" s="3"/>
      <c r="M35" s="3"/>
      <c r="N35" s="3"/>
    </row>
    <row r="36" spans="1:14">
      <c r="A36" s="3"/>
      <c r="B36" s="3"/>
      <c r="C36" s="3"/>
      <c r="D36" s="3"/>
      <c r="E36" s="3"/>
      <c r="F36" s="3"/>
      <c r="G36" s="3"/>
      <c r="H36" s="3"/>
      <c r="I36" s="3"/>
      <c r="J36" s="3"/>
      <c r="K36" s="3"/>
      <c r="L36" s="3"/>
      <c r="M36" s="3"/>
      <c r="N36" s="3"/>
    </row>
    <row r="37" spans="1:14">
      <c r="A37" s="3"/>
      <c r="B37" s="3"/>
      <c r="C37" s="3"/>
      <c r="D37" s="3"/>
      <c r="E37" s="3"/>
      <c r="F37" s="3"/>
      <c r="G37" s="3"/>
      <c r="H37" s="3"/>
      <c r="I37" s="3"/>
      <c r="J37" s="3"/>
      <c r="K37" s="3"/>
      <c r="L37" s="3"/>
      <c r="M37" s="3"/>
      <c r="N37" s="3"/>
    </row>
    <row r="38" spans="1:14">
      <c r="A38" s="3"/>
      <c r="B38" s="3"/>
      <c r="C38" s="3"/>
      <c r="D38" s="3"/>
      <c r="E38" s="3"/>
      <c r="F38" s="3"/>
      <c r="G38" s="3"/>
      <c r="H38" s="3"/>
      <c r="I38" s="3"/>
      <c r="J38" s="3"/>
      <c r="K38" s="3"/>
      <c r="L38" s="3"/>
      <c r="M38" s="3"/>
      <c r="N38" s="3"/>
    </row>
    <row r="39" spans="1:14">
      <c r="A39" s="3"/>
      <c r="B39" s="3"/>
      <c r="C39" s="3"/>
      <c r="D39" s="3"/>
      <c r="E39" s="3"/>
      <c r="F39" s="3"/>
      <c r="G39" s="3"/>
      <c r="H39" s="3"/>
      <c r="I39" s="3"/>
      <c r="J39" s="3"/>
      <c r="K39" s="3"/>
      <c r="L39" s="3"/>
      <c r="M39" s="3"/>
      <c r="N39" s="3"/>
    </row>
    <row r="40" spans="1:14">
      <c r="A40" s="3"/>
      <c r="B40" s="3"/>
      <c r="C40" s="3"/>
      <c r="D40" s="3"/>
      <c r="E40" s="3"/>
      <c r="F40" s="3"/>
      <c r="G40" s="3"/>
      <c r="H40" s="3"/>
      <c r="I40" s="3"/>
      <c r="J40" s="3"/>
      <c r="K40" s="3"/>
      <c r="L40" s="3"/>
      <c r="M40" s="3"/>
      <c r="N40" s="3"/>
    </row>
    <row r="41" spans="1:14">
      <c r="A41" s="3"/>
      <c r="B41" s="3"/>
      <c r="C41" s="3"/>
      <c r="D41" s="3"/>
      <c r="E41" s="3"/>
      <c r="F41" s="3"/>
      <c r="G41" s="3"/>
      <c r="H41" s="3"/>
      <c r="I41" s="3"/>
      <c r="J41" s="3"/>
      <c r="K41" s="3"/>
      <c r="L41" s="3"/>
      <c r="M41" s="3"/>
      <c r="N41" s="3"/>
    </row>
    <row r="42" spans="1:14">
      <c r="A42" s="3"/>
      <c r="B42" s="3"/>
      <c r="C42" s="3"/>
      <c r="D42" s="3"/>
      <c r="E42" s="3"/>
      <c r="F42" s="3"/>
      <c r="G42" s="3"/>
      <c r="H42" s="3"/>
      <c r="I42" s="3"/>
      <c r="J42" s="3"/>
      <c r="K42" s="3"/>
      <c r="L42" s="3"/>
      <c r="M42" s="3"/>
      <c r="N42" s="3"/>
    </row>
    <row r="43" spans="1:14">
      <c r="A43" s="3"/>
      <c r="B43" s="3"/>
      <c r="C43" s="3"/>
      <c r="D43" s="3"/>
      <c r="E43" s="3"/>
      <c r="F43" s="3"/>
      <c r="G43" s="3"/>
      <c r="H43" s="3"/>
      <c r="I43" s="3"/>
      <c r="J43" s="3"/>
      <c r="K43" s="3"/>
      <c r="L43" s="3"/>
      <c r="M43" s="3"/>
      <c r="N43" s="3"/>
    </row>
    <row r="44" spans="1:14">
      <c r="A44" s="3"/>
      <c r="B44" s="3"/>
      <c r="C44" s="3"/>
      <c r="D44" s="3"/>
      <c r="E44" s="3"/>
      <c r="F44" s="3"/>
      <c r="G44" s="3"/>
      <c r="H44" s="3"/>
      <c r="I44" s="3"/>
      <c r="J44" s="3"/>
      <c r="K44" s="3"/>
      <c r="L44" s="3"/>
      <c r="M44" s="3"/>
      <c r="N44" s="3"/>
    </row>
    <row r="45" spans="1:14">
      <c r="A45" s="3"/>
      <c r="B45" s="3"/>
      <c r="C45" s="3"/>
      <c r="D45" s="3"/>
      <c r="E45" s="3"/>
      <c r="F45" s="3"/>
      <c r="G45" s="3"/>
      <c r="H45" s="3"/>
      <c r="I45" s="3"/>
      <c r="J45" s="3"/>
      <c r="K45" s="3"/>
      <c r="L45" s="3"/>
      <c r="M45" s="3"/>
      <c r="N45" s="3"/>
    </row>
    <row r="46" spans="1:14">
      <c r="A46" s="3"/>
      <c r="B46" s="3"/>
      <c r="C46" s="3"/>
      <c r="D46" s="3"/>
      <c r="E46" s="3"/>
      <c r="F46" s="3"/>
      <c r="G46" s="3"/>
      <c r="H46" s="3"/>
      <c r="I46" s="3"/>
      <c r="J46" s="3"/>
      <c r="K46" s="3"/>
      <c r="L46" s="3"/>
      <c r="M46" s="3"/>
      <c r="N46" s="3"/>
    </row>
    <row r="47" spans="1:14">
      <c r="A47" s="3"/>
      <c r="B47" s="3"/>
      <c r="C47" s="3"/>
      <c r="D47" s="3"/>
      <c r="E47" s="3"/>
      <c r="F47" s="3"/>
      <c r="G47" s="3"/>
      <c r="H47" s="3"/>
      <c r="I47" s="3"/>
      <c r="J47" s="3"/>
      <c r="K47" s="3"/>
      <c r="L47" s="3"/>
      <c r="M47" s="3"/>
      <c r="N47" s="3"/>
    </row>
    <row r="48" spans="1:14">
      <c r="A48" s="3"/>
      <c r="B48" s="3"/>
      <c r="C48" s="3"/>
      <c r="D48" s="3"/>
      <c r="E48" s="3"/>
      <c r="F48" s="3"/>
      <c r="G48" s="3"/>
      <c r="H48" s="3"/>
      <c r="I48" s="3"/>
      <c r="J48" s="3"/>
      <c r="K48" s="3"/>
      <c r="L48" s="3"/>
      <c r="M48" s="3"/>
      <c r="N48" s="3"/>
    </row>
    <row r="49" spans="1:14">
      <c r="A49" s="3"/>
      <c r="B49" s="3"/>
      <c r="C49" s="3"/>
      <c r="D49" s="3"/>
      <c r="E49" s="3"/>
      <c r="F49" s="3"/>
      <c r="G49" s="3"/>
      <c r="H49" s="3"/>
      <c r="I49" s="3"/>
      <c r="J49" s="3"/>
      <c r="K49" s="3"/>
      <c r="L49" s="3"/>
      <c r="M49" s="3"/>
      <c r="N49" s="3"/>
    </row>
    <row r="50" spans="1:14">
      <c r="A50" s="3"/>
      <c r="B50" s="3"/>
      <c r="C50" s="3"/>
      <c r="D50" s="3"/>
      <c r="E50" s="3"/>
      <c r="F50" s="3"/>
      <c r="G50" s="3"/>
      <c r="H50" s="3"/>
      <c r="I50" s="3"/>
      <c r="J50" s="3"/>
      <c r="K50" s="3"/>
      <c r="L50" s="3"/>
      <c r="M50" s="3"/>
      <c r="N50" s="3"/>
    </row>
    <row r="51" spans="1:14">
      <c r="A51" s="3"/>
      <c r="B51" s="3"/>
      <c r="C51" s="3"/>
      <c r="D51" s="3"/>
      <c r="E51" s="3"/>
      <c r="F51" s="3"/>
      <c r="G51" s="3"/>
      <c r="H51" s="3"/>
      <c r="I51" s="3"/>
      <c r="J51" s="3"/>
      <c r="K51" s="3"/>
      <c r="L51" s="3"/>
      <c r="M51" s="3"/>
      <c r="N51" s="3"/>
    </row>
    <row r="52" spans="1:14">
      <c r="A52" s="3"/>
      <c r="B52" s="3"/>
      <c r="C52" s="3"/>
      <c r="D52" s="3"/>
      <c r="E52" s="3"/>
      <c r="F52" s="3"/>
      <c r="G52" s="3"/>
      <c r="H52" s="3"/>
      <c r="I52" s="3"/>
      <c r="J52" s="3"/>
      <c r="K52" s="3"/>
      <c r="L52" s="3"/>
      <c r="M52" s="3"/>
      <c r="N52" s="3"/>
    </row>
    <row r="53" spans="1:14">
      <c r="A53" s="3"/>
      <c r="B53" s="3"/>
      <c r="C53" s="3"/>
      <c r="D53" s="3"/>
      <c r="E53" s="3"/>
      <c r="F53" s="3"/>
      <c r="G53" s="3"/>
      <c r="H53" s="3"/>
      <c r="I53" s="3"/>
      <c r="J53" s="3"/>
      <c r="K53" s="3"/>
      <c r="L53" s="3"/>
      <c r="M53" s="3"/>
      <c r="N53" s="3"/>
    </row>
    <row r="54" spans="1:14">
      <c r="A54" s="3"/>
      <c r="B54" s="3"/>
      <c r="C54" s="3"/>
      <c r="D54" s="3"/>
      <c r="E54" s="3"/>
      <c r="F54" s="3"/>
      <c r="G54" s="3"/>
      <c r="H54" s="3"/>
      <c r="I54" s="3"/>
      <c r="J54" s="3"/>
      <c r="K54" s="3"/>
      <c r="L54" s="3"/>
      <c r="M54" s="3"/>
      <c r="N54" s="3"/>
    </row>
    <row r="55" spans="1:14">
      <c r="A55" s="3"/>
      <c r="B55" s="3"/>
      <c r="C55" s="3"/>
      <c r="D55" s="3"/>
      <c r="E55" s="3"/>
      <c r="F55" s="3"/>
      <c r="G55" s="3"/>
      <c r="H55" s="3"/>
      <c r="I55" s="3"/>
      <c r="J55" s="3"/>
      <c r="K55" s="3"/>
      <c r="L55" s="3"/>
      <c r="M55" s="3"/>
      <c r="N55" s="3"/>
    </row>
    <row r="56" spans="1:14">
      <c r="A56" s="3"/>
      <c r="B56" s="3"/>
      <c r="C56" s="3"/>
      <c r="D56" s="3"/>
      <c r="E56" s="3"/>
      <c r="F56" s="3"/>
      <c r="G56" s="3"/>
      <c r="H56" s="3"/>
      <c r="I56" s="3"/>
      <c r="J56" s="3"/>
      <c r="K56" s="3"/>
      <c r="L56" s="3"/>
      <c r="M56" s="3"/>
      <c r="N56" s="3"/>
    </row>
    <row r="57" spans="1:14">
      <c r="A57" s="3"/>
      <c r="B57" s="3"/>
      <c r="C57" s="3"/>
      <c r="D57" s="3"/>
      <c r="E57" s="3"/>
      <c r="F57" s="3"/>
      <c r="G57" s="3"/>
      <c r="H57" s="3"/>
      <c r="I57" s="3"/>
      <c r="J57" s="3"/>
      <c r="K57" s="3"/>
      <c r="L57" s="3"/>
      <c r="M57" s="3"/>
      <c r="N57" s="3"/>
    </row>
    <row r="58" spans="1:14">
      <c r="A58" s="3"/>
      <c r="B58" s="3"/>
      <c r="C58" s="3"/>
      <c r="D58" s="3"/>
      <c r="E58" s="3"/>
      <c r="F58" s="3"/>
      <c r="G58" s="3"/>
      <c r="H58" s="3"/>
      <c r="I58" s="3"/>
      <c r="J58" s="3"/>
      <c r="K58" s="3"/>
      <c r="L58" s="3"/>
      <c r="M58" s="3"/>
      <c r="N58" s="3"/>
    </row>
    <row r="59" spans="1:14">
      <c r="A59" s="3"/>
      <c r="B59" s="3"/>
      <c r="C59" s="3"/>
      <c r="D59" s="3"/>
      <c r="E59" s="3"/>
      <c r="F59" s="3"/>
      <c r="G59" s="3"/>
      <c r="H59" s="3"/>
      <c r="I59" s="3"/>
      <c r="J59" s="3"/>
      <c r="K59" s="3"/>
      <c r="L59" s="3"/>
      <c r="M59" s="3"/>
      <c r="N59" s="3"/>
    </row>
    <row r="60" spans="1:14">
      <c r="A60" s="3"/>
      <c r="B60" s="3"/>
      <c r="C60" s="3"/>
      <c r="D60" s="3"/>
      <c r="E60" s="3"/>
      <c r="F60" s="3"/>
      <c r="G60" s="3"/>
      <c r="H60" s="3"/>
      <c r="I60" s="3"/>
      <c r="J60" s="3"/>
      <c r="K60" s="3"/>
      <c r="L60" s="3"/>
      <c r="M60" s="3"/>
      <c r="N60" s="3"/>
    </row>
    <row r="61" spans="1:14">
      <c r="A61" s="3"/>
      <c r="B61" s="3"/>
      <c r="C61" s="3"/>
      <c r="D61" s="3"/>
      <c r="E61" s="3"/>
      <c r="F61" s="3"/>
      <c r="G61" s="3"/>
      <c r="H61" s="3"/>
      <c r="I61" s="3"/>
      <c r="J61" s="3"/>
      <c r="K61" s="3"/>
      <c r="L61" s="3"/>
      <c r="M61" s="3"/>
      <c r="N61" s="3"/>
    </row>
    <row r="62" spans="1:14">
      <c r="A62" s="3"/>
      <c r="B62" s="3"/>
      <c r="C62" s="3"/>
      <c r="D62" s="3"/>
      <c r="E62" s="3"/>
      <c r="F62" s="3"/>
      <c r="G62" s="3"/>
      <c r="H62" s="3"/>
      <c r="I62" s="3"/>
      <c r="J62" s="3"/>
      <c r="K62" s="3"/>
      <c r="L62" s="3"/>
      <c r="M62" s="3"/>
      <c r="N62" s="3"/>
    </row>
    <row r="63" spans="1:14">
      <c r="A63" s="3"/>
      <c r="B63" s="3"/>
      <c r="C63" s="3"/>
      <c r="D63" s="3"/>
      <c r="E63" s="3"/>
      <c r="F63" s="3"/>
      <c r="G63" s="3"/>
      <c r="H63" s="3"/>
      <c r="I63" s="3"/>
      <c r="J63" s="3"/>
      <c r="K63" s="3"/>
      <c r="L63" s="3"/>
      <c r="M63" s="3"/>
      <c r="N63" s="3"/>
    </row>
    <row r="64" spans="1:14">
      <c r="A64" s="3"/>
      <c r="B64" s="3"/>
      <c r="C64" s="3"/>
      <c r="D64" s="3"/>
      <c r="E64" s="3"/>
      <c r="F64" s="3"/>
      <c r="G64" s="3"/>
      <c r="H64" s="3"/>
      <c r="I64" s="3"/>
      <c r="J64" s="3"/>
      <c r="K64" s="3"/>
      <c r="L64" s="3"/>
      <c r="M64" s="3"/>
      <c r="N64" s="3"/>
    </row>
    <row r="65" spans="1:14">
      <c r="A65" s="3"/>
      <c r="B65" s="3"/>
      <c r="C65" s="3"/>
      <c r="D65" s="3"/>
      <c r="E65" s="3"/>
      <c r="F65" s="3"/>
      <c r="G65" s="3"/>
      <c r="H65" s="3"/>
      <c r="I65" s="3"/>
      <c r="J65" s="3"/>
      <c r="K65" s="3"/>
      <c r="L65" s="3"/>
      <c r="M65" s="3"/>
      <c r="N65" s="3"/>
    </row>
    <row r="66" spans="1:14">
      <c r="A66" s="3"/>
      <c r="B66" s="3"/>
      <c r="C66" s="3"/>
      <c r="D66" s="3"/>
      <c r="E66" s="3"/>
      <c r="F66" s="3"/>
      <c r="G66" s="3"/>
      <c r="H66" s="3"/>
      <c r="I66" s="3"/>
      <c r="J66" s="3"/>
      <c r="K66" s="3"/>
      <c r="L66" s="3"/>
      <c r="M66" s="3"/>
      <c r="N66" s="3"/>
    </row>
    <row r="67" spans="1:14">
      <c r="A67" s="3"/>
      <c r="B67" s="3"/>
      <c r="C67" s="3"/>
      <c r="D67" s="3"/>
      <c r="E67" s="3"/>
      <c r="F67" s="3"/>
      <c r="G67" s="3"/>
      <c r="H67" s="3"/>
      <c r="I67" s="3"/>
      <c r="J67" s="3"/>
      <c r="K67" s="3"/>
      <c r="L67" s="3"/>
      <c r="M67" s="3"/>
      <c r="N67" s="3"/>
    </row>
    <row r="68" spans="1:14">
      <c r="A68" s="3"/>
      <c r="B68" s="3"/>
      <c r="C68" s="3"/>
      <c r="D68" s="3"/>
      <c r="E68" s="3"/>
      <c r="F68" s="3"/>
      <c r="G68" s="3"/>
      <c r="H68" s="3"/>
      <c r="I68" s="3"/>
      <c r="J68" s="3"/>
      <c r="K68" s="3"/>
      <c r="L68" s="3"/>
      <c r="M68" s="3"/>
      <c r="N68" s="3"/>
    </row>
    <row r="69" spans="1:14">
      <c r="A69" s="3"/>
      <c r="B69" s="3"/>
      <c r="C69" s="3"/>
      <c r="D69" s="3"/>
      <c r="E69" s="3"/>
      <c r="F69" s="3"/>
      <c r="G69" s="3"/>
      <c r="H69" s="3"/>
      <c r="I69" s="3"/>
      <c r="J69" s="3"/>
      <c r="K69" s="3"/>
      <c r="L69" s="3"/>
      <c r="M69" s="3"/>
      <c r="N69" s="3"/>
    </row>
    <row r="70" spans="1:14">
      <c r="A70" s="3"/>
      <c r="B70" s="3"/>
      <c r="C70" s="3"/>
      <c r="D70" s="3"/>
      <c r="E70" s="3"/>
      <c r="F70" s="3"/>
      <c r="G70" s="3"/>
      <c r="H70" s="3"/>
      <c r="I70" s="3"/>
      <c r="J70" s="3"/>
      <c r="K70" s="3"/>
      <c r="L70" s="3"/>
      <c r="M70" s="3"/>
      <c r="N70" s="3"/>
    </row>
    <row r="71" spans="1:14">
      <c r="A71" s="3"/>
      <c r="B71" s="3"/>
      <c r="C71" s="3"/>
      <c r="D71" s="3"/>
      <c r="E71" s="3"/>
      <c r="F71" s="3"/>
      <c r="G71" s="3"/>
      <c r="H71" s="3"/>
      <c r="I71" s="3"/>
      <c r="J71" s="3"/>
      <c r="K71" s="3"/>
      <c r="L71" s="3"/>
      <c r="M71" s="3"/>
      <c r="N71" s="3"/>
    </row>
    <row r="72" spans="1:14">
      <c r="A72" s="3"/>
      <c r="B72" s="3"/>
      <c r="C72" s="3"/>
      <c r="D72" s="3"/>
      <c r="E72" s="3"/>
      <c r="F72" s="3"/>
      <c r="G72" s="3"/>
      <c r="H72" s="3"/>
      <c r="I72" s="3"/>
      <c r="J72" s="3"/>
      <c r="K72" s="3"/>
      <c r="L72" s="3"/>
      <c r="M72" s="3"/>
      <c r="N72" s="3"/>
    </row>
    <row r="73" spans="1:14">
      <c r="A73" s="3"/>
      <c r="B73" s="3"/>
      <c r="C73" s="3"/>
      <c r="D73" s="3"/>
      <c r="E73" s="3"/>
      <c r="F73" s="3"/>
      <c r="G73" s="3"/>
      <c r="H73" s="3"/>
      <c r="I73" s="3"/>
      <c r="J73" s="3"/>
      <c r="K73" s="3"/>
      <c r="L73" s="3"/>
      <c r="M73" s="3"/>
      <c r="N73" s="3"/>
    </row>
    <row r="74" spans="1:14">
      <c r="A74" s="3"/>
      <c r="B74" s="3"/>
      <c r="C74" s="3"/>
      <c r="D74" s="3"/>
      <c r="E74" s="3"/>
      <c r="F74" s="3"/>
      <c r="G74" s="3"/>
      <c r="H74" s="3"/>
      <c r="I74" s="3"/>
      <c r="J74" s="3"/>
      <c r="K74" s="3"/>
      <c r="L74" s="3"/>
      <c r="M74" s="3"/>
      <c r="N74" s="3"/>
    </row>
    <row r="75" spans="1:14">
      <c r="A75" s="3"/>
      <c r="B75" s="3"/>
      <c r="C75" s="3"/>
      <c r="D75" s="3"/>
      <c r="E75" s="3"/>
      <c r="F75" s="3"/>
      <c r="G75" s="3"/>
      <c r="H75" s="3"/>
      <c r="I75" s="3"/>
      <c r="J75" s="3"/>
      <c r="K75" s="3"/>
      <c r="L75" s="3"/>
      <c r="M75" s="3"/>
      <c r="N75" s="3"/>
    </row>
    <row r="76" spans="1:14">
      <c r="A76" s="3"/>
      <c r="B76" s="3"/>
      <c r="C76" s="3"/>
      <c r="D76" s="3"/>
      <c r="E76" s="3"/>
      <c r="F76" s="3"/>
      <c r="G76" s="3"/>
      <c r="H76" s="3"/>
      <c r="I76" s="3"/>
      <c r="J76" s="3"/>
      <c r="K76" s="3"/>
      <c r="L76" s="3"/>
      <c r="M76" s="3"/>
      <c r="N76" s="3"/>
    </row>
    <row r="77" spans="1:14">
      <c r="A77" s="3"/>
      <c r="B77" s="3"/>
      <c r="C77" s="3"/>
      <c r="D77" s="3"/>
      <c r="E77" s="3"/>
      <c r="F77" s="3"/>
      <c r="G77" s="3"/>
      <c r="H77" s="3"/>
      <c r="I77" s="3"/>
      <c r="J77" s="3"/>
      <c r="K77" s="3"/>
      <c r="L77" s="3"/>
      <c r="M77" s="3"/>
      <c r="N77" s="3"/>
    </row>
    <row r="78" spans="1:14">
      <c r="A78" s="3"/>
      <c r="B78" s="3"/>
      <c r="C78" s="3"/>
      <c r="D78" s="3"/>
      <c r="E78" s="3"/>
      <c r="F78" s="3"/>
      <c r="G78" s="3"/>
      <c r="H78" s="3"/>
      <c r="I78" s="3"/>
      <c r="J78" s="3"/>
      <c r="K78" s="3"/>
      <c r="L78" s="3"/>
      <c r="M78" s="3"/>
      <c r="N78" s="3"/>
    </row>
    <row r="79" spans="1:14">
      <c r="A79" s="3"/>
      <c r="B79" s="3"/>
      <c r="C79" s="3"/>
      <c r="D79" s="3"/>
      <c r="E79" s="3"/>
      <c r="F79" s="3"/>
      <c r="G79" s="3"/>
      <c r="H79" s="3"/>
      <c r="I79" s="3"/>
      <c r="J79" s="3"/>
      <c r="K79" s="3"/>
      <c r="L79" s="3"/>
      <c r="M79" s="3"/>
      <c r="N79" s="3"/>
    </row>
    <row r="80" spans="1:14">
      <c r="A80" s="3"/>
      <c r="B80" s="3"/>
      <c r="C80" s="3"/>
      <c r="D80" s="3"/>
      <c r="E80" s="3"/>
      <c r="F80" s="3"/>
      <c r="G80" s="3"/>
      <c r="H80" s="3"/>
      <c r="I80" s="3"/>
      <c r="J80" s="3"/>
      <c r="K80" s="3"/>
      <c r="L80" s="3"/>
      <c r="M80" s="3"/>
      <c r="N80" s="3"/>
    </row>
    <row r="81" spans="1:14">
      <c r="A81" s="3"/>
      <c r="B81" s="3"/>
      <c r="C81" s="3"/>
      <c r="D81" s="3"/>
      <c r="E81" s="3"/>
      <c r="F81" s="3"/>
      <c r="G81" s="3"/>
      <c r="H81" s="3"/>
      <c r="I81" s="3"/>
      <c r="J81" s="3"/>
      <c r="K81" s="3"/>
      <c r="L81" s="3"/>
      <c r="M81" s="3"/>
      <c r="N81" s="3"/>
    </row>
    <row r="82" spans="1:14">
      <c r="A82" s="3"/>
      <c r="B82" s="3"/>
      <c r="C82" s="3"/>
      <c r="D82" s="3"/>
      <c r="E82" s="3"/>
      <c r="F82" s="3"/>
      <c r="G82" s="3"/>
      <c r="H82" s="3"/>
      <c r="I82" s="3"/>
      <c r="J82" s="3"/>
      <c r="K82" s="3"/>
      <c r="L82" s="3"/>
      <c r="M82" s="3"/>
      <c r="N82" s="3"/>
    </row>
    <row r="83" spans="1:14">
      <c r="A83" s="3"/>
      <c r="B83" s="3"/>
      <c r="C83" s="3"/>
      <c r="D83" s="3"/>
      <c r="E83" s="3"/>
      <c r="F83" s="3"/>
      <c r="G83" s="3"/>
      <c r="H83" s="3"/>
      <c r="I83" s="3"/>
      <c r="J83" s="3"/>
      <c r="K83" s="3"/>
      <c r="L83" s="3"/>
      <c r="M83" s="3"/>
      <c r="N83" s="3"/>
    </row>
    <row r="84" spans="1:14">
      <c r="A84" s="3"/>
      <c r="B84" s="3"/>
      <c r="C84" s="3"/>
      <c r="D84" s="3"/>
      <c r="E84" s="3"/>
      <c r="F84" s="3"/>
      <c r="G84" s="3"/>
      <c r="H84" s="3"/>
      <c r="I84" s="3"/>
      <c r="J84" s="3"/>
      <c r="K84" s="3"/>
      <c r="L84" s="3"/>
      <c r="M84" s="3"/>
      <c r="N84" s="3"/>
    </row>
    <row r="85" spans="1:14">
      <c r="A85" s="3"/>
      <c r="B85" s="3"/>
      <c r="C85" s="3"/>
      <c r="D85" s="3"/>
      <c r="E85" s="3"/>
      <c r="F85" s="3"/>
      <c r="G85" s="3"/>
      <c r="H85" s="3"/>
      <c r="I85" s="3"/>
      <c r="J85" s="3"/>
      <c r="K85" s="3"/>
      <c r="L85" s="3"/>
      <c r="M85" s="3"/>
      <c r="N85" s="3"/>
    </row>
    <row r="86" spans="1:14">
      <c r="A86" s="3"/>
      <c r="B86" s="3"/>
      <c r="C86" s="3"/>
      <c r="D86" s="3"/>
      <c r="E86" s="3"/>
      <c r="F86" s="3"/>
      <c r="G86" s="3"/>
      <c r="H86" s="3"/>
      <c r="I86" s="3"/>
      <c r="J86" s="3"/>
      <c r="K86" s="3"/>
      <c r="L86" s="3"/>
      <c r="M86" s="3"/>
      <c r="N86" s="3"/>
    </row>
    <row r="87" spans="1:14">
      <c r="A87" s="3"/>
      <c r="B87" s="3"/>
      <c r="C87" s="3"/>
      <c r="D87" s="3"/>
      <c r="E87" s="3"/>
      <c r="F87" s="3"/>
      <c r="G87" s="3"/>
      <c r="H87" s="3"/>
      <c r="I87" s="3"/>
      <c r="J87" s="3"/>
      <c r="K87" s="3"/>
      <c r="L87" s="3"/>
      <c r="M87" s="3"/>
      <c r="N87" s="3"/>
    </row>
    <row r="88" spans="1:14">
      <c r="A88" s="3"/>
      <c r="B88" s="3"/>
      <c r="C88" s="3"/>
      <c r="D88" s="3"/>
      <c r="E88" s="3"/>
      <c r="F88" s="3"/>
      <c r="G88" s="3"/>
      <c r="H88" s="3"/>
      <c r="I88" s="3"/>
      <c r="J88" s="3"/>
      <c r="K88" s="3"/>
      <c r="L88" s="3"/>
      <c r="M88" s="3"/>
      <c r="N88" s="3"/>
    </row>
    <row r="89" spans="1:14">
      <c r="A89" s="3"/>
      <c r="B89" s="3"/>
      <c r="C89" s="3"/>
      <c r="D89" s="3"/>
      <c r="E89" s="3"/>
      <c r="F89" s="3"/>
      <c r="G89" s="3"/>
      <c r="H89" s="3"/>
      <c r="I89" s="3"/>
      <c r="J89" s="3"/>
      <c r="K89" s="3"/>
      <c r="L89" s="3"/>
      <c r="M89" s="3"/>
      <c r="N89" s="3"/>
    </row>
    <row r="90" spans="1:14">
      <c r="A90" s="3"/>
      <c r="B90" s="3"/>
      <c r="C90" s="3"/>
      <c r="D90" s="3"/>
      <c r="E90" s="3"/>
      <c r="F90" s="3"/>
      <c r="G90" s="3"/>
      <c r="H90" s="3"/>
      <c r="I90" s="3"/>
      <c r="J90" s="3"/>
      <c r="K90" s="3"/>
      <c r="L90" s="3"/>
      <c r="M90" s="3"/>
      <c r="N90" s="3"/>
    </row>
    <row r="91" spans="1:14">
      <c r="A91" s="3"/>
      <c r="B91" s="3"/>
      <c r="C91" s="3"/>
      <c r="D91" s="3"/>
      <c r="E91" s="3"/>
      <c r="F91" s="3"/>
      <c r="G91" s="3"/>
      <c r="H91" s="3"/>
      <c r="I91" s="3"/>
      <c r="J91" s="3"/>
      <c r="K91" s="3"/>
      <c r="L91" s="3"/>
      <c r="M91" s="3"/>
      <c r="N91" s="3"/>
    </row>
    <row r="92" spans="1:14">
      <c r="A92" s="3"/>
      <c r="B92" s="3"/>
      <c r="C92" s="3"/>
      <c r="D92" s="3"/>
      <c r="E92" s="3"/>
      <c r="F92" s="3"/>
      <c r="G92" s="3"/>
      <c r="H92" s="3"/>
      <c r="I92" s="3"/>
      <c r="J92" s="3"/>
      <c r="K92" s="3"/>
      <c r="L92" s="3"/>
      <c r="M92" s="3"/>
      <c r="N92" s="3"/>
    </row>
    <row r="93" spans="1:14">
      <c r="A93" s="3"/>
      <c r="B93" s="3"/>
      <c r="C93" s="3"/>
      <c r="D93" s="3"/>
      <c r="E93" s="3"/>
      <c r="F93" s="3"/>
      <c r="G93" s="3"/>
      <c r="H93" s="3"/>
      <c r="I93" s="3"/>
      <c r="J93" s="3"/>
      <c r="K93" s="3"/>
      <c r="L93" s="3"/>
      <c r="M93" s="3"/>
      <c r="N93" s="3"/>
    </row>
    <row r="94" spans="1:14">
      <c r="A94" s="3"/>
      <c r="B94" s="3"/>
      <c r="C94" s="3"/>
      <c r="D94" s="3"/>
      <c r="E94" s="3"/>
      <c r="F94" s="3"/>
      <c r="G94" s="3"/>
      <c r="H94" s="3"/>
      <c r="I94" s="3"/>
      <c r="J94" s="3"/>
      <c r="K94" s="3"/>
      <c r="L94" s="3"/>
      <c r="M94" s="3"/>
      <c r="N94" s="3"/>
    </row>
    <row r="95" spans="1:14">
      <c r="A95" s="3"/>
      <c r="B95" s="3"/>
      <c r="C95" s="3"/>
      <c r="D95" s="3"/>
      <c r="E95" s="3"/>
      <c r="F95" s="3"/>
      <c r="G95" s="3"/>
      <c r="H95" s="3"/>
      <c r="I95" s="3"/>
      <c r="J95" s="3"/>
      <c r="K95" s="3"/>
      <c r="L95" s="3"/>
      <c r="M95" s="3"/>
      <c r="N95" s="3"/>
    </row>
    <row r="96" spans="1:14">
      <c r="A96" s="3"/>
      <c r="B96" s="3"/>
      <c r="C96" s="3"/>
      <c r="D96" s="3"/>
      <c r="E96" s="3"/>
      <c r="F96" s="3"/>
      <c r="G96" s="3"/>
      <c r="H96" s="3"/>
      <c r="I96" s="3"/>
      <c r="J96" s="3"/>
      <c r="K96" s="3"/>
      <c r="L96" s="3"/>
      <c r="M96" s="3"/>
      <c r="N96" s="3"/>
    </row>
    <row r="97" spans="1:14">
      <c r="A97" s="3"/>
      <c r="B97" s="3"/>
      <c r="C97" s="3"/>
      <c r="D97" s="3"/>
      <c r="E97" s="3"/>
      <c r="F97" s="3"/>
      <c r="G97" s="3"/>
      <c r="H97" s="3"/>
      <c r="I97" s="3"/>
      <c r="J97" s="3"/>
      <c r="K97" s="3"/>
      <c r="L97" s="3"/>
      <c r="M97" s="3"/>
      <c r="N97" s="3"/>
    </row>
    <row r="98" spans="1:14">
      <c r="A98" s="3"/>
      <c r="B98" s="3"/>
      <c r="C98" s="3"/>
      <c r="D98" s="3"/>
      <c r="E98" s="3"/>
      <c r="F98" s="3"/>
      <c r="G98" s="3"/>
      <c r="H98" s="3"/>
      <c r="I98" s="3"/>
      <c r="J98" s="3"/>
      <c r="K98" s="3"/>
      <c r="L98" s="3"/>
      <c r="M98" s="3"/>
      <c r="N98" s="3"/>
    </row>
    <row r="99" spans="1:14">
      <c r="A99" s="3"/>
      <c r="B99" s="3"/>
      <c r="C99" s="3"/>
      <c r="D99" s="3"/>
      <c r="E99" s="3"/>
      <c r="F99" s="3"/>
      <c r="G99" s="3"/>
      <c r="H99" s="3"/>
      <c r="I99" s="3"/>
      <c r="J99" s="3"/>
      <c r="K99" s="3"/>
      <c r="L99" s="3"/>
      <c r="M99" s="3"/>
      <c r="N99" s="3"/>
    </row>
    <row r="100" spans="1:14">
      <c r="A100" s="3"/>
      <c r="B100" s="3"/>
      <c r="C100" s="3"/>
      <c r="D100" s="3"/>
      <c r="E100" s="3"/>
      <c r="F100" s="3"/>
      <c r="G100" s="3"/>
      <c r="H100" s="3"/>
      <c r="I100" s="3"/>
      <c r="J100" s="3"/>
      <c r="K100" s="3"/>
      <c r="L100" s="3"/>
      <c r="M100" s="3"/>
      <c r="N100" s="3"/>
    </row>
    <row r="101" spans="1:14">
      <c r="A101" s="3"/>
      <c r="B101" s="3"/>
      <c r="C101" s="3"/>
      <c r="D101" s="3"/>
      <c r="E101" s="3"/>
      <c r="F101" s="3"/>
      <c r="G101" s="3"/>
      <c r="H101" s="3"/>
      <c r="I101" s="3"/>
      <c r="J101" s="3"/>
      <c r="K101" s="3"/>
      <c r="L101" s="3"/>
      <c r="M101" s="3"/>
      <c r="N101" s="3"/>
    </row>
    <row r="102" spans="1:14">
      <c r="A102" s="3"/>
      <c r="B102" s="3"/>
      <c r="C102" s="3"/>
      <c r="D102" s="3"/>
      <c r="E102" s="3"/>
      <c r="F102" s="3"/>
      <c r="G102" s="3"/>
      <c r="H102" s="3"/>
      <c r="I102" s="3"/>
      <c r="J102" s="3"/>
      <c r="K102" s="3"/>
      <c r="L102" s="3"/>
      <c r="M102" s="3"/>
      <c r="N102" s="3"/>
    </row>
    <row r="103" spans="1:14">
      <c r="A103" s="3"/>
      <c r="B103" s="3"/>
      <c r="C103" s="3"/>
      <c r="D103" s="3"/>
      <c r="E103" s="3"/>
      <c r="F103" s="3"/>
      <c r="G103" s="3"/>
      <c r="H103" s="3"/>
      <c r="I103" s="3"/>
      <c r="J103" s="3"/>
      <c r="K103" s="3"/>
      <c r="L103" s="3"/>
      <c r="M103" s="3"/>
      <c r="N103" s="3"/>
    </row>
    <row r="104" spans="1:14">
      <c r="A104" s="3"/>
      <c r="B104" s="3"/>
      <c r="C104" s="3"/>
      <c r="D104" s="3"/>
      <c r="E104" s="3"/>
      <c r="F104" s="3"/>
      <c r="G104" s="3"/>
      <c r="H104" s="3"/>
      <c r="I104" s="3"/>
      <c r="J104" s="3"/>
      <c r="K104" s="3"/>
      <c r="L104" s="3"/>
      <c r="M104" s="3"/>
      <c r="N104" s="3"/>
    </row>
    <row r="105" spans="1:14">
      <c r="A105" s="3"/>
      <c r="B105" s="3"/>
      <c r="C105" s="3"/>
      <c r="D105" s="3"/>
      <c r="E105" s="3"/>
      <c r="F105" s="3"/>
      <c r="G105" s="3"/>
      <c r="H105" s="3"/>
      <c r="I105" s="3"/>
      <c r="J105" s="3"/>
      <c r="K105" s="3"/>
      <c r="L105" s="3"/>
      <c r="M105" s="3"/>
      <c r="N105" s="3"/>
    </row>
    <row r="106" spans="1:14">
      <c r="A106" s="3"/>
      <c r="B106" s="3"/>
      <c r="C106" s="3"/>
      <c r="D106" s="3"/>
      <c r="E106" s="3"/>
      <c r="F106" s="3"/>
      <c r="G106" s="3"/>
      <c r="H106" s="3"/>
      <c r="I106" s="3"/>
      <c r="J106" s="3"/>
      <c r="K106" s="3"/>
      <c r="L106" s="3"/>
      <c r="M106" s="3"/>
      <c r="N106" s="3"/>
    </row>
    <row r="107" spans="1:14">
      <c r="A107" s="3"/>
      <c r="B107" s="3"/>
      <c r="C107" s="3"/>
      <c r="D107" s="3"/>
      <c r="E107" s="3"/>
      <c r="F107" s="3"/>
      <c r="G107" s="3"/>
      <c r="H107" s="3"/>
      <c r="I107" s="3"/>
      <c r="J107" s="3"/>
      <c r="K107" s="3"/>
      <c r="L107" s="3"/>
      <c r="M107" s="3"/>
      <c r="N107" s="3"/>
    </row>
    <row r="108" spans="1:14">
      <c r="A108" s="3"/>
      <c r="B108" s="3"/>
      <c r="C108" s="3"/>
      <c r="D108" s="3"/>
      <c r="E108" s="3"/>
      <c r="F108" s="3"/>
      <c r="G108" s="3"/>
      <c r="H108" s="3"/>
      <c r="I108" s="3"/>
      <c r="J108" s="3"/>
      <c r="K108" s="3"/>
      <c r="L108" s="3"/>
      <c r="M108" s="3"/>
      <c r="N108" s="3"/>
    </row>
    <row r="109" spans="1:14">
      <c r="A109" s="3"/>
      <c r="B109" s="3"/>
      <c r="C109" s="3"/>
      <c r="D109" s="3"/>
      <c r="E109" s="3"/>
      <c r="F109" s="3"/>
      <c r="G109" s="3"/>
      <c r="H109" s="3"/>
      <c r="I109" s="3"/>
      <c r="J109" s="3"/>
      <c r="K109" s="3"/>
      <c r="L109" s="3"/>
      <c r="M109" s="3"/>
      <c r="N109" s="3"/>
    </row>
    <row r="110" spans="1:14">
      <c r="A110" s="3"/>
      <c r="B110" s="3"/>
      <c r="C110" s="3"/>
      <c r="D110" s="3"/>
      <c r="E110" s="3"/>
      <c r="F110" s="3"/>
      <c r="G110" s="3"/>
      <c r="H110" s="3"/>
      <c r="I110" s="3"/>
      <c r="J110" s="3"/>
      <c r="K110" s="3"/>
      <c r="L110" s="3"/>
      <c r="M110" s="3"/>
      <c r="N110" s="3"/>
    </row>
    <row r="111" spans="1:14">
      <c r="A111" s="3"/>
      <c r="B111" s="3"/>
      <c r="C111" s="3"/>
      <c r="D111" s="3"/>
      <c r="E111" s="3"/>
      <c r="F111" s="3"/>
      <c r="G111" s="3"/>
      <c r="H111" s="3"/>
      <c r="I111" s="3"/>
      <c r="J111" s="3"/>
      <c r="K111" s="3"/>
      <c r="L111" s="3"/>
      <c r="M111" s="3"/>
      <c r="N111" s="3"/>
    </row>
    <row r="112" spans="1:14">
      <c r="A112" s="3"/>
      <c r="B112" s="3"/>
      <c r="C112" s="3"/>
      <c r="D112" s="3"/>
      <c r="E112" s="3"/>
      <c r="F112" s="3"/>
      <c r="G112" s="3"/>
      <c r="H112" s="3"/>
      <c r="I112" s="3"/>
      <c r="J112" s="3"/>
      <c r="K112" s="3"/>
      <c r="L112" s="3"/>
      <c r="M112" s="3"/>
      <c r="N112" s="3"/>
    </row>
    <row r="113" spans="1:14">
      <c r="A113" s="3"/>
      <c r="B113" s="3"/>
      <c r="C113" s="3"/>
      <c r="D113" s="3"/>
      <c r="E113" s="3"/>
      <c r="F113" s="3"/>
      <c r="G113" s="3"/>
      <c r="H113" s="3"/>
      <c r="I113" s="3"/>
      <c r="J113" s="3"/>
      <c r="K113" s="3"/>
      <c r="L113" s="3"/>
      <c r="M113" s="3"/>
      <c r="N113" s="3"/>
    </row>
    <row r="114" spans="1:14">
      <c r="A114" s="3"/>
      <c r="B114" s="3"/>
      <c r="C114" s="3"/>
      <c r="D114" s="3"/>
      <c r="E114" s="3"/>
      <c r="F114" s="3"/>
      <c r="G114" s="3"/>
      <c r="H114" s="3"/>
      <c r="I114" s="3"/>
      <c r="J114" s="3"/>
      <c r="K114" s="3"/>
      <c r="L114" s="3"/>
      <c r="M114" s="3"/>
      <c r="N114" s="3"/>
    </row>
    <row r="115" spans="1:14">
      <c r="A115" s="3"/>
      <c r="B115" s="3"/>
      <c r="C115" s="3"/>
      <c r="D115" s="3"/>
      <c r="E115" s="3"/>
      <c r="F115" s="3"/>
      <c r="G115" s="3"/>
      <c r="H115" s="3"/>
      <c r="I115" s="3"/>
      <c r="J115" s="3"/>
      <c r="K115" s="3"/>
      <c r="L115" s="3"/>
      <c r="M115" s="3"/>
      <c r="N115" s="3"/>
    </row>
    <row r="116" spans="1:14">
      <c r="A116" s="3"/>
      <c r="B116" s="3"/>
      <c r="C116" s="3"/>
      <c r="D116" s="3"/>
      <c r="E116" s="3"/>
      <c r="F116" s="3"/>
      <c r="G116" s="3"/>
      <c r="H116" s="3"/>
      <c r="I116" s="3"/>
      <c r="J116" s="3"/>
      <c r="K116" s="3"/>
      <c r="L116" s="3"/>
      <c r="M116" s="3"/>
      <c r="N116" s="3"/>
    </row>
    <row r="117" spans="1:14">
      <c r="A117" s="3"/>
      <c r="B117" s="3"/>
      <c r="C117" s="3"/>
      <c r="D117" s="3"/>
      <c r="E117" s="3"/>
      <c r="F117" s="3"/>
      <c r="G117" s="3"/>
      <c r="H117" s="3"/>
      <c r="I117" s="3"/>
      <c r="J117" s="3"/>
      <c r="K117" s="3"/>
      <c r="L117" s="3"/>
      <c r="M117" s="3"/>
      <c r="N117" s="3"/>
    </row>
    <row r="118" spans="1:14">
      <c r="A118" s="3"/>
      <c r="B118" s="3"/>
      <c r="C118" s="3"/>
      <c r="D118" s="3"/>
      <c r="E118" s="3"/>
      <c r="F118" s="3"/>
      <c r="G118" s="3"/>
      <c r="H118" s="3"/>
      <c r="I118" s="3"/>
      <c r="J118" s="3"/>
      <c r="K118" s="3"/>
      <c r="L118" s="3"/>
      <c r="M118" s="3"/>
      <c r="N118" s="3"/>
    </row>
    <row r="119" spans="1:14">
      <c r="A119" s="3"/>
      <c r="B119" s="3"/>
      <c r="C119" s="3"/>
      <c r="D119" s="3"/>
      <c r="E119" s="3"/>
      <c r="F119" s="3"/>
      <c r="G119" s="3"/>
      <c r="H119" s="3"/>
      <c r="I119" s="3"/>
      <c r="J119" s="3"/>
      <c r="K119" s="3"/>
      <c r="L119" s="3"/>
      <c r="M119" s="3"/>
      <c r="N119" s="3"/>
    </row>
    <row r="120" spans="1:14">
      <c r="A120" s="3"/>
      <c r="B120" s="3"/>
      <c r="C120" s="3"/>
      <c r="D120" s="3"/>
      <c r="E120" s="3"/>
      <c r="F120" s="3"/>
      <c r="G120" s="3"/>
      <c r="H120" s="3"/>
      <c r="I120" s="3"/>
      <c r="J120" s="3"/>
      <c r="K120" s="3"/>
      <c r="L120" s="3"/>
      <c r="M120" s="3"/>
      <c r="N120" s="3"/>
    </row>
    <row r="121" spans="1:14">
      <c r="A121" s="3"/>
      <c r="B121" s="3"/>
      <c r="C121" s="3"/>
      <c r="D121" s="3"/>
      <c r="E121" s="3"/>
      <c r="F121" s="3"/>
      <c r="G121" s="3"/>
      <c r="H121" s="3"/>
      <c r="I121" s="3"/>
      <c r="J121" s="3"/>
      <c r="K121" s="3"/>
      <c r="L121" s="3"/>
      <c r="M121" s="3"/>
      <c r="N121" s="3"/>
    </row>
    <row r="122" spans="1:14">
      <c r="A122" s="3"/>
      <c r="B122" s="3"/>
      <c r="C122" s="3"/>
      <c r="D122" s="3"/>
      <c r="E122" s="3"/>
      <c r="F122" s="3"/>
      <c r="G122" s="3"/>
      <c r="H122" s="3"/>
      <c r="I122" s="3"/>
      <c r="J122" s="3"/>
      <c r="K122" s="3"/>
      <c r="L122" s="3"/>
      <c r="M122" s="3"/>
      <c r="N122" s="3"/>
    </row>
    <row r="123" spans="1:14">
      <c r="A123" s="3"/>
      <c r="B123" s="3"/>
      <c r="C123" s="3"/>
      <c r="D123" s="3"/>
      <c r="E123" s="3"/>
      <c r="F123" s="3"/>
      <c r="G123" s="3"/>
      <c r="H123" s="3"/>
      <c r="I123" s="3"/>
      <c r="J123" s="3"/>
      <c r="K123" s="3"/>
      <c r="L123" s="3"/>
      <c r="M123" s="3"/>
      <c r="N123" s="3"/>
    </row>
    <row r="124" spans="1:14">
      <c r="A124" s="3"/>
      <c r="B124" s="3"/>
      <c r="C124" s="3"/>
      <c r="D124" s="3"/>
      <c r="E124" s="3"/>
      <c r="F124" s="3"/>
      <c r="G124" s="3"/>
      <c r="H124" s="3"/>
      <c r="I124" s="3"/>
      <c r="J124" s="3"/>
      <c r="K124" s="3"/>
      <c r="L124" s="3"/>
      <c r="M124" s="3"/>
      <c r="N124" s="3"/>
    </row>
    <row r="125" spans="1:14">
      <c r="A125" s="3"/>
      <c r="B125" s="3"/>
      <c r="C125" s="3"/>
      <c r="D125" s="3"/>
      <c r="E125" s="3"/>
      <c r="F125" s="3"/>
      <c r="G125" s="3"/>
      <c r="H125" s="3"/>
      <c r="I125" s="3"/>
      <c r="J125" s="3"/>
      <c r="K125" s="3"/>
      <c r="L125" s="3"/>
      <c r="M125" s="3"/>
      <c r="N125" s="3"/>
    </row>
    <row r="126" spans="1:14">
      <c r="A126" s="3"/>
      <c r="B126" s="3"/>
      <c r="C126" s="3"/>
      <c r="D126" s="3"/>
      <c r="E126" s="3"/>
      <c r="F126" s="3"/>
      <c r="G126" s="3"/>
      <c r="H126" s="3"/>
      <c r="I126" s="3"/>
      <c r="J126" s="3"/>
      <c r="K126" s="3"/>
      <c r="L126" s="3"/>
      <c r="M126" s="3"/>
      <c r="N126" s="3"/>
    </row>
    <row r="127" spans="1:14">
      <c r="A127" s="3"/>
      <c r="B127" s="3"/>
      <c r="C127" s="3"/>
      <c r="D127" s="3"/>
      <c r="E127" s="3"/>
      <c r="F127" s="3"/>
      <c r="G127" s="3"/>
      <c r="H127" s="3"/>
      <c r="I127" s="3"/>
      <c r="J127" s="3"/>
      <c r="K127" s="3"/>
      <c r="L127" s="3"/>
      <c r="M127" s="3"/>
      <c r="N127" s="3"/>
    </row>
    <row r="128" spans="1:14">
      <c r="A128" s="3"/>
      <c r="B128" s="3"/>
      <c r="C128" s="3"/>
      <c r="D128" s="3"/>
      <c r="E128" s="3"/>
      <c r="F128" s="3"/>
      <c r="G128" s="3"/>
      <c r="H128" s="3"/>
      <c r="I128" s="3"/>
      <c r="J128" s="3"/>
      <c r="K128" s="3"/>
      <c r="L128" s="3"/>
      <c r="M128" s="3"/>
      <c r="N128" s="3"/>
    </row>
    <row r="129" spans="1:14">
      <c r="A129" s="3"/>
      <c r="B129" s="3"/>
      <c r="C129" s="3"/>
      <c r="D129" s="3"/>
      <c r="E129" s="3"/>
      <c r="F129" s="3"/>
      <c r="G129" s="3"/>
      <c r="H129" s="3"/>
      <c r="I129" s="3"/>
      <c r="J129" s="3"/>
      <c r="K129" s="3"/>
      <c r="L129" s="3"/>
      <c r="M129" s="3"/>
      <c r="N129" s="3"/>
    </row>
    <row r="130" spans="1:14">
      <c r="A130" s="3"/>
      <c r="B130" s="3"/>
      <c r="C130" s="3"/>
      <c r="D130" s="3"/>
      <c r="E130" s="3"/>
      <c r="F130" s="3"/>
      <c r="G130" s="3"/>
      <c r="H130" s="3"/>
      <c r="I130" s="3"/>
      <c r="J130" s="3"/>
      <c r="K130" s="3"/>
      <c r="L130" s="3"/>
      <c r="M130" s="3"/>
      <c r="N130" s="3"/>
    </row>
    <row r="131" spans="1:14">
      <c r="A131" s="3"/>
      <c r="B131" s="3"/>
      <c r="C131" s="3"/>
      <c r="D131" s="3"/>
      <c r="E131" s="3"/>
      <c r="F131" s="3"/>
      <c r="G131" s="3"/>
      <c r="H131" s="3"/>
      <c r="I131" s="3"/>
      <c r="J131" s="3"/>
      <c r="K131" s="3"/>
      <c r="L131" s="3"/>
      <c r="M131" s="3"/>
      <c r="N131" s="3"/>
    </row>
    <row r="132" spans="1:14">
      <c r="A132" s="3"/>
      <c r="B132" s="3"/>
      <c r="C132" s="3"/>
      <c r="D132" s="3"/>
      <c r="E132" s="3"/>
      <c r="F132" s="3"/>
      <c r="G132" s="3"/>
      <c r="H132" s="3"/>
      <c r="I132" s="3"/>
      <c r="J132" s="3"/>
      <c r="K132" s="3"/>
      <c r="L132" s="3"/>
      <c r="M132" s="3"/>
      <c r="N132" s="3"/>
    </row>
    <row r="133" spans="1:14">
      <c r="A133" s="3"/>
      <c r="B133" s="3"/>
      <c r="C133" s="3"/>
      <c r="D133" s="3"/>
      <c r="E133" s="3"/>
      <c r="F133" s="3"/>
      <c r="G133" s="3"/>
      <c r="H133" s="3"/>
      <c r="I133" s="3"/>
      <c r="J133" s="3"/>
      <c r="K133" s="3"/>
      <c r="L133" s="3"/>
      <c r="M133" s="3"/>
      <c r="N133" s="3"/>
    </row>
    <row r="134" spans="1:14">
      <c r="A134" s="3"/>
      <c r="B134" s="3"/>
      <c r="C134" s="3"/>
      <c r="D134" s="3"/>
      <c r="E134" s="3"/>
      <c r="F134" s="3"/>
      <c r="G134" s="3"/>
      <c r="H134" s="3"/>
      <c r="I134" s="3"/>
      <c r="J134" s="3"/>
      <c r="K134" s="3"/>
      <c r="L134" s="3"/>
      <c r="M134" s="3"/>
      <c r="N134" s="3"/>
    </row>
    <row r="135" spans="1:14">
      <c r="A135" s="3"/>
      <c r="B135" s="3"/>
      <c r="C135" s="3"/>
      <c r="D135" s="3"/>
      <c r="E135" s="3"/>
      <c r="F135" s="3"/>
      <c r="G135" s="3"/>
      <c r="H135" s="3"/>
      <c r="I135" s="3"/>
      <c r="J135" s="3"/>
      <c r="K135" s="3"/>
      <c r="L135" s="3"/>
      <c r="M135" s="3"/>
      <c r="N135" s="3"/>
    </row>
    <row r="136" spans="1:14">
      <c r="A136" s="3"/>
      <c r="B136" s="3"/>
      <c r="C136" s="3"/>
      <c r="D136" s="3"/>
      <c r="E136" s="3"/>
      <c r="F136" s="3"/>
      <c r="G136" s="3"/>
      <c r="H136" s="3"/>
      <c r="I136" s="3"/>
      <c r="J136" s="3"/>
      <c r="K136" s="3"/>
      <c r="L136" s="3"/>
      <c r="M136" s="3"/>
      <c r="N136" s="3"/>
    </row>
    <row r="137" spans="1:14">
      <c r="A137" s="3"/>
      <c r="B137" s="3"/>
      <c r="C137" s="3"/>
      <c r="D137" s="3"/>
      <c r="E137" s="3"/>
      <c r="F137" s="3"/>
      <c r="G137" s="3"/>
      <c r="H137" s="3"/>
      <c r="I137" s="3"/>
      <c r="J137" s="3"/>
      <c r="K137" s="3"/>
      <c r="L137" s="3"/>
      <c r="M137" s="3"/>
      <c r="N137" s="3"/>
    </row>
    <row r="138" spans="1:14">
      <c r="A138" s="3"/>
      <c r="B138" s="3"/>
      <c r="C138" s="3"/>
      <c r="D138" s="3"/>
      <c r="E138" s="3"/>
      <c r="F138" s="3"/>
      <c r="G138" s="3"/>
      <c r="H138" s="3"/>
      <c r="I138" s="3"/>
      <c r="J138" s="3"/>
      <c r="K138" s="3"/>
      <c r="L138" s="3"/>
      <c r="M138" s="3"/>
      <c r="N138" s="3"/>
    </row>
    <row r="139" spans="1:14">
      <c r="A139" s="3"/>
      <c r="B139" s="3"/>
      <c r="C139" s="3"/>
      <c r="D139" s="3"/>
      <c r="E139" s="3"/>
      <c r="F139" s="3"/>
      <c r="G139" s="3"/>
      <c r="H139" s="3"/>
      <c r="I139" s="3"/>
      <c r="J139" s="3"/>
      <c r="K139" s="3"/>
      <c r="L139" s="3"/>
      <c r="M139" s="3"/>
      <c r="N139" s="3"/>
    </row>
    <row r="140" spans="1:14">
      <c r="A140" s="3"/>
      <c r="B140" s="3"/>
      <c r="C140" s="3"/>
      <c r="D140" s="3"/>
      <c r="E140" s="3"/>
      <c r="F140" s="3"/>
      <c r="G140" s="3"/>
      <c r="H140" s="3"/>
      <c r="I140" s="3"/>
      <c r="J140" s="3"/>
      <c r="K140" s="3"/>
      <c r="L140" s="3"/>
      <c r="M140" s="3"/>
      <c r="N140" s="3"/>
    </row>
    <row r="141" spans="1:14">
      <c r="A141" s="3"/>
      <c r="B141" s="3"/>
      <c r="C141" s="3"/>
      <c r="D141" s="3"/>
      <c r="E141" s="3"/>
      <c r="F141" s="3"/>
      <c r="G141" s="3"/>
      <c r="H141" s="3"/>
      <c r="I141" s="3"/>
      <c r="J141" s="3"/>
      <c r="K141" s="3"/>
      <c r="L141" s="3"/>
      <c r="M141" s="3"/>
      <c r="N141" s="3"/>
    </row>
    <row r="142" spans="1:14">
      <c r="A142" s="3"/>
      <c r="B142" s="3"/>
      <c r="C142" s="3"/>
      <c r="D142" s="3"/>
      <c r="E142" s="3"/>
      <c r="F142" s="3"/>
      <c r="G142" s="3"/>
      <c r="H142" s="3"/>
      <c r="I142" s="3"/>
      <c r="J142" s="3"/>
      <c r="K142" s="3"/>
      <c r="L142" s="3"/>
      <c r="M142" s="3"/>
      <c r="N142" s="3"/>
    </row>
    <row r="143" spans="1:14">
      <c r="A143" s="3"/>
      <c r="B143" s="3"/>
      <c r="C143" s="3"/>
      <c r="D143" s="3"/>
      <c r="E143" s="3"/>
      <c r="F143" s="3"/>
      <c r="G143" s="3"/>
      <c r="H143" s="3"/>
      <c r="I143" s="3"/>
      <c r="J143" s="3"/>
      <c r="K143" s="3"/>
      <c r="L143" s="3"/>
      <c r="M143" s="3"/>
      <c r="N143" s="3"/>
    </row>
    <row r="144" spans="1:14">
      <c r="A144" s="3"/>
      <c r="B144" s="3"/>
      <c r="C144" s="3"/>
      <c r="D144" s="3"/>
      <c r="E144" s="3"/>
      <c r="F144" s="3"/>
      <c r="G144" s="3"/>
      <c r="H144" s="3"/>
      <c r="I144" s="3"/>
      <c r="J144" s="3"/>
      <c r="K144" s="3"/>
      <c r="L144" s="3"/>
      <c r="M144" s="3"/>
      <c r="N144" s="3"/>
    </row>
    <row r="145" spans="1:14">
      <c r="A145" s="3"/>
      <c r="B145" s="3"/>
      <c r="C145" s="3"/>
      <c r="D145" s="3"/>
      <c r="E145" s="3"/>
      <c r="F145" s="3"/>
      <c r="G145" s="3"/>
      <c r="H145" s="3"/>
      <c r="I145" s="3"/>
      <c r="J145" s="3"/>
      <c r="K145" s="3"/>
      <c r="L145" s="3"/>
      <c r="M145" s="3"/>
      <c r="N145" s="3"/>
    </row>
    <row r="146" spans="1:14">
      <c r="A146" s="3"/>
      <c r="B146" s="3"/>
      <c r="C146" s="3"/>
      <c r="D146" s="3"/>
      <c r="E146" s="3"/>
      <c r="F146" s="3"/>
      <c r="G146" s="3"/>
      <c r="H146" s="3"/>
      <c r="I146" s="3"/>
      <c r="J146" s="3"/>
      <c r="K146" s="3"/>
      <c r="L146" s="3"/>
      <c r="M146" s="3"/>
      <c r="N146" s="3"/>
    </row>
    <row r="147" spans="1:14">
      <c r="A147" s="3"/>
      <c r="B147" s="3"/>
      <c r="C147" s="3"/>
      <c r="D147" s="3"/>
      <c r="E147" s="3"/>
      <c r="F147" s="3"/>
      <c r="G147" s="3"/>
      <c r="H147" s="3"/>
      <c r="I147" s="3"/>
      <c r="J147" s="3"/>
      <c r="K147" s="3"/>
      <c r="L147" s="3"/>
      <c r="M147" s="3"/>
      <c r="N147" s="3"/>
    </row>
    <row r="148" spans="1:14">
      <c r="A148" s="3"/>
      <c r="B148" s="3"/>
      <c r="C148" s="3"/>
      <c r="D148" s="3"/>
      <c r="E148" s="3"/>
      <c r="F148" s="3"/>
      <c r="G148" s="3"/>
      <c r="H148" s="3"/>
      <c r="I148" s="3"/>
      <c r="J148" s="3"/>
      <c r="K148" s="3"/>
      <c r="L148" s="3"/>
      <c r="M148" s="3"/>
      <c r="N148" s="3"/>
    </row>
    <row r="149" spans="1:14">
      <c r="A149" s="3"/>
      <c r="B149" s="3"/>
      <c r="C149" s="3"/>
      <c r="D149" s="3"/>
      <c r="E149" s="3"/>
      <c r="F149" s="3"/>
      <c r="G149" s="3"/>
      <c r="H149" s="3"/>
      <c r="I149" s="3"/>
      <c r="J149" s="3"/>
      <c r="K149" s="3"/>
      <c r="L149" s="3"/>
      <c r="M149" s="3"/>
      <c r="N149" s="3"/>
    </row>
    <row r="150" spans="1:14">
      <c r="A150" s="3"/>
      <c r="B150" s="3"/>
      <c r="C150" s="3"/>
      <c r="D150" s="3"/>
      <c r="E150" s="3"/>
      <c r="F150" s="3"/>
      <c r="G150" s="3"/>
      <c r="H150" s="3"/>
      <c r="I150" s="3"/>
      <c r="J150" s="3"/>
      <c r="K150" s="3"/>
      <c r="L150" s="3"/>
      <c r="M150" s="3"/>
      <c r="N150" s="3"/>
    </row>
    <row r="151" spans="1:14">
      <c r="A151" s="3"/>
      <c r="B151" s="3"/>
      <c r="C151" s="3"/>
      <c r="D151" s="3"/>
      <c r="E151" s="3"/>
      <c r="F151" s="3"/>
      <c r="G151" s="3"/>
      <c r="H151" s="3"/>
      <c r="I151" s="3"/>
      <c r="J151" s="3"/>
      <c r="K151" s="3"/>
      <c r="L151" s="3"/>
      <c r="M151" s="3"/>
      <c r="N151" s="3"/>
    </row>
    <row r="152" spans="1:14">
      <c r="A152" s="3"/>
      <c r="B152" s="3"/>
      <c r="C152" s="3"/>
      <c r="D152" s="3"/>
      <c r="E152" s="3"/>
      <c r="F152" s="3"/>
      <c r="G152" s="3"/>
      <c r="H152" s="3"/>
      <c r="I152" s="3"/>
      <c r="J152" s="3"/>
      <c r="K152" s="3"/>
      <c r="L152" s="3"/>
      <c r="M152" s="3"/>
      <c r="N152" s="3"/>
    </row>
    <row r="153" spans="1:14">
      <c r="A153" s="3"/>
      <c r="B153" s="3"/>
      <c r="C153" s="3"/>
      <c r="D153" s="3"/>
      <c r="E153" s="3"/>
      <c r="F153" s="3"/>
      <c r="G153" s="3"/>
      <c r="H153" s="3"/>
      <c r="I153" s="3"/>
      <c r="J153" s="3"/>
      <c r="K153" s="3"/>
      <c r="L153" s="3"/>
      <c r="M153" s="3"/>
      <c r="N153" s="3"/>
    </row>
    <row r="154" spans="1:14">
      <c r="A154" s="3"/>
      <c r="B154" s="3"/>
      <c r="C154" s="3"/>
      <c r="D154" s="3"/>
      <c r="E154" s="3"/>
      <c r="F154" s="3"/>
      <c r="G154" s="3"/>
      <c r="H154" s="3"/>
      <c r="I154" s="3"/>
      <c r="J154" s="3"/>
      <c r="K154" s="3"/>
      <c r="L154" s="3"/>
      <c r="M154" s="3"/>
      <c r="N154" s="3"/>
    </row>
    <row r="155" spans="1:14">
      <c r="A155" s="3"/>
      <c r="B155" s="3"/>
      <c r="C155" s="3"/>
      <c r="D155" s="3"/>
      <c r="E155" s="3"/>
      <c r="F155" s="3"/>
      <c r="G155" s="3"/>
      <c r="H155" s="3"/>
      <c r="I155" s="3"/>
      <c r="J155" s="3"/>
      <c r="K155" s="3"/>
      <c r="L155" s="3"/>
      <c r="M155" s="3"/>
      <c r="N155" s="3"/>
    </row>
    <row r="156" spans="1:14">
      <c r="A156" s="3"/>
      <c r="B156" s="3"/>
      <c r="C156" s="3"/>
      <c r="D156" s="3"/>
      <c r="E156" s="3"/>
      <c r="F156" s="3"/>
      <c r="G156" s="3"/>
      <c r="H156" s="3"/>
      <c r="I156" s="3"/>
      <c r="J156" s="3"/>
      <c r="K156" s="3"/>
      <c r="L156" s="3"/>
      <c r="M156" s="3"/>
      <c r="N156" s="3"/>
    </row>
    <row r="157" spans="1:14">
      <c r="A157" s="3"/>
      <c r="B157" s="3"/>
      <c r="C157" s="3"/>
      <c r="D157" s="3"/>
      <c r="E157" s="3"/>
      <c r="F157" s="3"/>
      <c r="G157" s="3"/>
      <c r="H157" s="3"/>
      <c r="I157" s="3"/>
      <c r="J157" s="3"/>
      <c r="K157" s="3"/>
      <c r="L157" s="3"/>
      <c r="M157" s="3"/>
      <c r="N157" s="3"/>
    </row>
    <row r="158" spans="1:14">
      <c r="A158" s="3"/>
      <c r="B158" s="3"/>
      <c r="C158" s="3"/>
      <c r="D158" s="3"/>
      <c r="E158" s="3"/>
      <c r="F158" s="3"/>
      <c r="G158" s="3"/>
      <c r="H158" s="3"/>
      <c r="I158" s="3"/>
      <c r="J158" s="3"/>
      <c r="K158" s="3"/>
      <c r="L158" s="3"/>
      <c r="M158" s="3"/>
      <c r="N158" s="3"/>
    </row>
    <row r="159" spans="1:14">
      <c r="A159" s="3"/>
      <c r="B159" s="3"/>
      <c r="C159" s="3"/>
      <c r="D159" s="3"/>
      <c r="E159" s="3"/>
      <c r="F159" s="3"/>
      <c r="G159" s="3"/>
      <c r="H159" s="3"/>
      <c r="I159" s="3"/>
      <c r="J159" s="3"/>
      <c r="K159" s="3"/>
      <c r="L159" s="3"/>
      <c r="M159" s="3"/>
      <c r="N159" s="3"/>
    </row>
    <row r="160" spans="1:14">
      <c r="A160" s="3"/>
      <c r="B160" s="3"/>
      <c r="C160" s="3"/>
      <c r="D160" s="3"/>
      <c r="E160" s="3"/>
      <c r="F160" s="3"/>
      <c r="G160" s="3"/>
      <c r="H160" s="3"/>
      <c r="I160" s="3"/>
      <c r="J160" s="3"/>
      <c r="K160" s="3"/>
      <c r="L160" s="3"/>
      <c r="M160" s="3"/>
      <c r="N160" s="3"/>
    </row>
    <row r="161" spans="1:14">
      <c r="A161" s="3"/>
      <c r="B161" s="3"/>
      <c r="C161" s="3"/>
      <c r="D161" s="3"/>
      <c r="E161" s="3"/>
      <c r="F161" s="3"/>
      <c r="G161" s="3"/>
      <c r="H161" s="3"/>
      <c r="I161" s="3"/>
      <c r="J161" s="3"/>
      <c r="K161" s="3"/>
      <c r="L161" s="3"/>
      <c r="M161" s="3"/>
      <c r="N161" s="3"/>
    </row>
  </sheetData>
  <sheetProtection algorithmName="SHA-512" hashValue="kbbDDjUApggEQsgP53+gtFfSSUXuJNo+QW4xCMhLP+qD5D9U5T1yz51eTRbK9pcBkN/gF7YTIQl8Ne7RorXB6A==" saltValue="VzR6V+GiGqxx7x8E3xaY+Q==" spinCount="100000" sheet="1" objects="1" scenarios="1"/>
  <mergeCells count="8">
    <mergeCell ref="B1:M2"/>
    <mergeCell ref="B5:M5"/>
    <mergeCell ref="B4:M4"/>
    <mergeCell ref="B22:M26"/>
    <mergeCell ref="B28:M30"/>
    <mergeCell ref="B7:M8"/>
    <mergeCell ref="B10:M14"/>
    <mergeCell ref="B16:M20"/>
  </mergeCells>
  <pageMargins left="0.7" right="0.7" top="0.75" bottom="0.75" header="0.3" footer="0.3"/>
  <pageSetup scale="77"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66E5-29C9-1E4C-B747-7D5C5792FD2D}">
  <sheetPr codeName="Sheet40">
    <pageSetUpPr fitToPage="1"/>
  </sheetPr>
  <dimension ref="A1:AH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32" width="0" hidden="1" customWidth="1"/>
  </cols>
  <sheetData>
    <row r="1" spans="1:34" ht="20">
      <c r="A1" s="302" t="s">
        <v>8</v>
      </c>
      <c r="B1" s="20" t="s">
        <v>8</v>
      </c>
      <c r="C1" s="5"/>
      <c r="D1" s="10"/>
      <c r="E1" s="5"/>
      <c r="F1" s="5"/>
      <c r="AG1" s="579"/>
      <c r="AH1" s="579"/>
    </row>
    <row r="2" spans="1:34" ht="20">
      <c r="A2" s="3"/>
      <c r="B2" s="708" t="str">
        <f>'Prices_Yields&amp;SeedInputs'!B5&amp;", Cash Costs and Returns of Producing, $/acre."</f>
        <v>SW Winter Wheat after Spring Legume, Cash Costs and Returns of Producing, $/acre.</v>
      </c>
      <c r="C2" s="708"/>
      <c r="D2" s="708"/>
      <c r="E2" s="708"/>
      <c r="F2" s="708"/>
      <c r="AG2" s="579"/>
      <c r="AH2" s="579"/>
    </row>
    <row r="3" spans="1:34" ht="20.5" customHeight="1">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5" customHeight="1">
      <c r="A4" s="3"/>
      <c r="B4" s="11" t="str">
        <f>'Prices_Yields&amp;SeedInputs'!B5</f>
        <v>SW Winter Wheat after Spring Legume</v>
      </c>
      <c r="C4" s="15" t="str">
        <f>'Prices_Yields&amp;SeedInputs'!C5</f>
        <v>bu</v>
      </c>
      <c r="D4" s="112">
        <f>'Prices_Yields&amp;SeedInputs'!D5</f>
        <v>12</v>
      </c>
      <c r="E4" s="77">
        <f>'Prices_Yields&amp;SeedInputs'!E5</f>
        <v>90</v>
      </c>
      <c r="F4" s="28">
        <f>D4*E4</f>
        <v>1080</v>
      </c>
      <c r="AG4" s="579"/>
      <c r="AH4" s="579"/>
    </row>
    <row r="5" spans="1:34" ht="20.5" customHeight="1">
      <c r="A5" s="3"/>
      <c r="B5" s="9" t="s">
        <v>14</v>
      </c>
      <c r="C5" s="22"/>
      <c r="D5" s="23"/>
      <c r="E5" s="22"/>
      <c r="F5" s="37">
        <f>SUM(F4:F4)</f>
        <v>1080</v>
      </c>
      <c r="H5">
        <f>D4*'Prices_Yields&amp;SeedInputs'!F5</f>
        <v>1104</v>
      </c>
      <c r="I5">
        <f>D4*'Prices_Yields&amp;SeedInputs'!G5</f>
        <v>1128</v>
      </c>
    </row>
    <row r="6" spans="1:34" ht="20.5" customHeight="1">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'Prices_Yields&amp;SeedInputs'!H5</f>
        <v>pound</v>
      </c>
      <c r="D8" s="73">
        <f>'Prices_Yields&amp;SeedInputs'!I5</f>
        <v>0.25</v>
      </c>
      <c r="E8" s="116">
        <f>'Prices_Yields&amp;SeedInputs'!J5</f>
        <v>90</v>
      </c>
      <c r="F8" s="101">
        <f t="shared" ref="F8:F61" si="0">IF(D8*E8=0,"0",D8*E8)</f>
        <v>22.5</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'Chem&amp;FertInputs&amp;CInsurance'!F6</f>
        <v>93</v>
      </c>
      <c r="F9" s="101">
        <f t="shared" si="0"/>
        <v>45.337499999999999</v>
      </c>
      <c r="H9">
        <f>'Chem&amp;FertInputs&amp;CInsurance'!F7</f>
        <v>93</v>
      </c>
      <c r="I9">
        <f>'Chem&amp;FertInputs&amp;CInsurance'!F8</f>
        <v>93</v>
      </c>
    </row>
    <row r="10" spans="1:34" ht="20" hidden="1">
      <c r="A10" s="3"/>
      <c r="B10" s="72" t="str">
        <f>'Chem&amp;FertInputs&amp;CInsurance'!B9</f>
        <v>Fertilizer - Anhydrous Ammonia-</v>
      </c>
      <c r="C10" s="16" t="str">
        <f>'Chem&amp;FertInputs&amp;CInsurance'!D9</f>
        <v>pound</v>
      </c>
      <c r="D10" s="100">
        <f>'Chem&amp;FertInputs&amp;CInsurance'!E9</f>
        <v>0.75770000000000004</v>
      </c>
      <c r="E10" s="116">
        <f>'Chem&amp;FertInputs&amp;CInsurance'!F9</f>
        <v>0</v>
      </c>
      <c r="F10" s="101" t="str">
        <f t="shared" si="0"/>
        <v>0</v>
      </c>
      <c r="H10">
        <f>'Chem&amp;FertInputs&amp;CInsurance'!F10</f>
        <v>0</v>
      </c>
      <c r="I10">
        <f>'Chem&amp;FertInputs&amp;CInsurance'!F11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'Chem&amp;FertInputs&amp;CInsurance'!F12</f>
        <v>23</v>
      </c>
      <c r="F11" s="101">
        <f t="shared" si="0"/>
        <v>10.924999999999999</v>
      </c>
      <c r="H11">
        <f>'Chem&amp;FertInputs&amp;CInsurance'!F13</f>
        <v>23</v>
      </c>
      <c r="I11">
        <f>'Chem&amp;FertInputs&amp;CInsurance'!F14</f>
        <v>23</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'Chem&amp;FertInputs&amp;CInsurance'!F15</f>
        <v>30</v>
      </c>
      <c r="F12" s="101">
        <f t="shared" si="0"/>
        <v>13.23</v>
      </c>
      <c r="H12">
        <f>'Chem&amp;FertInputs&amp;CInsurance'!F16</f>
        <v>30</v>
      </c>
      <c r="I12">
        <f>'Chem&amp;FertInputs&amp;CInsurance'!F17</f>
        <v>30</v>
      </c>
    </row>
    <row r="13" spans="1:34" ht="20">
      <c r="A13" s="3"/>
      <c r="B13" s="72" t="str">
        <f>'Chem&amp;FertInputs&amp;CInsurance'!B18</f>
        <v>Fertilizer - Sulfur-</v>
      </c>
      <c r="C13" s="16" t="str">
        <f>'Chem&amp;FertInputs&amp;CInsurance'!D18</f>
        <v>pound</v>
      </c>
      <c r="D13" s="100">
        <f>'Chem&amp;FertInputs&amp;CInsurance'!E18</f>
        <v>0.2555</v>
      </c>
      <c r="E13" s="116">
        <f>'Chem&amp;FertInputs&amp;CInsurance'!F18</f>
        <v>9</v>
      </c>
      <c r="F13" s="101">
        <f t="shared" si="0"/>
        <v>2.2995000000000001</v>
      </c>
      <c r="H13">
        <f>'Chem&amp;FertInputs&amp;CInsurance'!F19</f>
        <v>9</v>
      </c>
      <c r="I13">
        <f>'Chem&amp;FertInputs&amp;CInsurance'!F20</f>
        <v>9</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'Chem&amp;FertInputs&amp;CInsurance'!F21</f>
        <v>3.4</v>
      </c>
      <c r="F14" s="101">
        <f t="shared" ref="F14:F20" si="1">IF(D14*E14=0,"0",D14*E14)</f>
        <v>1.6319999999999999</v>
      </c>
      <c r="G14" s="146">
        <f>E14/128</f>
        <v>2.6562499999999999E-2</v>
      </c>
      <c r="H14">
        <f>'Chem&amp;FertInputs&amp;CInsurance'!F22</f>
        <v>3.4</v>
      </c>
      <c r="I14">
        <f>'Chem&amp;FertInputs&amp;CInsurance'!F23</f>
        <v>3.4</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'Chem&amp;FertInputs&amp;CInsurance'!F24</f>
        <v>0</v>
      </c>
      <c r="F15" s="101" t="str">
        <f t="shared" si="1"/>
        <v>0</v>
      </c>
      <c r="G15" s="146">
        <f>E15/16</f>
        <v>0</v>
      </c>
      <c r="H15">
        <f>'Chem&amp;FertInputs&amp;CInsurance'!F25</f>
        <v>0</v>
      </c>
      <c r="I15">
        <f>'Chem&amp;FertInputs&amp;CInsurance'!F26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'Chem&amp;FertInputs&amp;CInsurance'!F27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'Chem&amp;FertInputs&amp;CInsurance'!F28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'Chem&amp;FertInputs&amp;CInsurance'!F29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'Chem&amp;FertInputs&amp;CInsurance'!F30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'Chem&amp;FertInputs&amp;CInsurance'!F31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'Chem&amp;FertInputs&amp;CInsurance'!F33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'Chem&amp;FertInputs&amp;CInsurance'!F34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'Chem&amp;FertInputs&amp;CInsurance'!F35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'Chem&amp;FertInputs&amp;CInsurance'!F36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'Chem&amp;FertInputs&amp;CInsurance'!F37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'Chem&amp;FertInputs&amp;CInsurance'!F38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'Chem&amp;FertInputs&amp;CInsurance'!F39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'Chem&amp;FertInputs&amp;CInsurance'!F40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'Chem&amp;FertInputs&amp;CInsurance'!F41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'Chem&amp;FertInputs&amp;CInsurance'!F42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'Chem&amp;FertInputs&amp;CInsurance'!F43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'Chem&amp;FertInputs&amp;CInsurance'!F44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'Chem&amp;FertInputs&amp;CInsurance'!F45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'Chem&amp;FertInputs&amp;CInsurance'!F46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'Chem&amp;FertInputs&amp;CInsurance'!F47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'Chem&amp;FertInputs&amp;CInsurance'!F48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'Chem&amp;FertInputs&amp;CInsurance'!F49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'Chem&amp;FertInputs&amp;CInsurance'!F50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'Chem&amp;FertInputs&amp;CInsurance'!F51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'Chem&amp;FertInputs&amp;CInsurance'!F52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'Chem&amp;FertInputs&amp;CInsurance'!F53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'Chem&amp;FertInputs&amp;CInsurance'!F54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'Chem&amp;FertInputs&amp;CInsurance'!F55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'Chem&amp;FertInputs&amp;CInsurance'!F56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'Chem&amp;FertInputs&amp;CInsurance'!F57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'Chem&amp;FertInputs&amp;CInsurance'!F58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'Chem&amp;FertInputs&amp;CInsurance'!F59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'Chem&amp;FertInputs&amp;CInsurance'!F60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'Chem&amp;FertInputs&amp;CInsurance'!F61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'Chem&amp;FertInputs&amp;CInsurance'!F62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'Chem&amp;FertInputs&amp;CInsurance'!F63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'Chem&amp;FertInputs&amp;CInsurance'!F64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'Chem&amp;FertInputs&amp;CInsurance'!F65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'Chem&amp;FertInputs&amp;CInsurance'!F66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'Chem&amp;FertInputs&amp;CInsurance'!F67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'Chem&amp;FertInputs&amp;CInsurance'!F68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'Chem&amp;FertInputs&amp;CInsurance'!F69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'Chem&amp;FertInputs&amp;CInsurance'!F70</f>
        <v>0</v>
      </c>
      <c r="F58" s="101" t="str">
        <f t="shared" ref="F58:F59" si="9">IF(D58*E58=0,"0",D58*E58)</f>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'Chem&amp;FertInputs&amp;CInsurance'!F71</f>
        <v>0</v>
      </c>
      <c r="F59" s="101" t="str">
        <f t="shared" si="9"/>
        <v>0</v>
      </c>
      <c r="G59" s="146">
        <f t="shared" si="10"/>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'Chem&amp;FertInputs&amp;CInsurance'!F72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'Chem&amp;FertInputs&amp;CInsurance'!F32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CustomRates!D5</f>
        <v>8.9499999999999993</v>
      </c>
      <c r="E63" s="74">
        <f>CustomRates!D6</f>
        <v>0</v>
      </c>
      <c r="F63" s="101" t="str">
        <f t="shared" ref="F63:F70" si="11">IF(D63*E63=0,"0",D63*E63)</f>
        <v>0</v>
      </c>
      <c r="G63" s="190" t="s">
        <v>8</v>
      </c>
      <c r="H63" s="190" t="s">
        <v>8</v>
      </c>
    </row>
    <row r="64" spans="1:11" ht="20">
      <c r="A64" s="3"/>
      <c r="B64" s="108" t="str">
        <f>CustomRates!B7</f>
        <v>Sprayer (Rental 90')</v>
      </c>
      <c r="C64" s="32" t="str">
        <f>CustomRates!C7</f>
        <v>acre</v>
      </c>
      <c r="D64" s="100">
        <f>CustomRates!D7</f>
        <v>8</v>
      </c>
      <c r="E64" s="74">
        <f>CustomRates!D8</f>
        <v>1</v>
      </c>
      <c r="F64" s="101">
        <f t="shared" si="11"/>
        <v>8</v>
      </c>
    </row>
    <row r="65" spans="1:9" ht="20">
      <c r="A65" s="3"/>
      <c r="B65" s="108" t="str">
        <f>CustomRates!B9</f>
        <v>Fertilizer - Anhydrous Applicator (Rent)</v>
      </c>
      <c r="C65" s="32" t="str">
        <f>CustomRates!C9</f>
        <v>acre</v>
      </c>
      <c r="D65" s="100">
        <f>CustomRates!D9</f>
        <v>7</v>
      </c>
      <c r="E65" s="74">
        <f>CustomRates!D10</f>
        <v>0</v>
      </c>
      <c r="F65" s="101" t="str">
        <f t="shared" si="11"/>
        <v>0</v>
      </c>
    </row>
    <row r="66" spans="1:9" ht="20">
      <c r="A66" s="3"/>
      <c r="B66" s="108" t="str">
        <f>CustomRates!B11</f>
        <v>Fertilizer Applicator</v>
      </c>
      <c r="C66" s="32" t="str">
        <f>CustomRates!C11</f>
        <v>acre</v>
      </c>
      <c r="D66" s="100">
        <f>CustomRates!D11</f>
        <v>2</v>
      </c>
      <c r="E66" s="74">
        <f>CustomRates!D12</f>
        <v>0</v>
      </c>
      <c r="F66" s="101" t="str">
        <f t="shared" si="11"/>
        <v>0</v>
      </c>
    </row>
    <row r="67" spans="1:9" ht="20">
      <c r="A67" s="3"/>
      <c r="B67" s="108" t="str">
        <f>CustomRates!B13</f>
        <v>26' Rental Shredder</v>
      </c>
      <c r="C67" s="32" t="str">
        <f>CustomRates!C13</f>
        <v>acre</v>
      </c>
      <c r="D67" s="100">
        <f>CustomRates!D13</f>
        <v>10</v>
      </c>
      <c r="E67" s="74">
        <f>CustomRates!D14</f>
        <v>0</v>
      </c>
      <c r="F67" s="101" t="str">
        <f t="shared" si="11"/>
        <v>0</v>
      </c>
    </row>
    <row r="68" spans="1:9" ht="20">
      <c r="A68" s="3"/>
      <c r="B68" s="108" t="str">
        <f>CustomRates!B15</f>
        <v>36' Ripper Shooter</v>
      </c>
      <c r="C68" s="32" t="str">
        <f>CustomRates!C15</f>
        <v>acre</v>
      </c>
      <c r="D68" s="100">
        <f>CustomRates!D15</f>
        <v>2.5</v>
      </c>
      <c r="E68" s="74">
        <f>CustomRates!D16</f>
        <v>0</v>
      </c>
      <c r="F68" s="101" t="str">
        <f t="shared" si="11"/>
        <v>0</v>
      </c>
    </row>
    <row r="69" spans="1:9" ht="20">
      <c r="A69" s="3"/>
      <c r="B69" s="108" t="str">
        <f>CustomRates!B17</f>
        <v>Custom self-propelled sprayer</v>
      </c>
      <c r="C69" s="32" t="str">
        <f>CustomRates!C17</f>
        <v>acre</v>
      </c>
      <c r="D69" s="100">
        <f>CustomRates!D17</f>
        <v>8</v>
      </c>
      <c r="E69" s="74">
        <f>CustomRates!D18</f>
        <v>0</v>
      </c>
      <c r="F69" s="101" t="str">
        <f t="shared" si="11"/>
        <v>0</v>
      </c>
    </row>
    <row r="70" spans="1:9" ht="20">
      <c r="A70" s="3"/>
      <c r="B70" s="108" t="str">
        <f>CustomRates!B19</f>
        <v>Additional Operation #8 (Custom)</v>
      </c>
      <c r="C70" s="32" t="str">
        <f>CustomRates!C19</f>
        <v>acre</v>
      </c>
      <c r="D70" s="100">
        <f>CustomRates!D19</f>
        <v>0</v>
      </c>
      <c r="E70" s="74">
        <f>CustomRates!D20</f>
        <v>0</v>
      </c>
      <c r="F70" s="101" t="str">
        <f t="shared" si="11"/>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FieldApplications!$C$6</f>
        <v>0</v>
      </c>
      <c r="F72" s="101" t="str">
        <f t="shared" ref="F72:F113" si="12">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FieldApplications!$C$6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FieldApplications!$C$6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FieldApplications!$C$7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FieldApplications!$C$7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FieldApplications!$C$7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FieldApplications!$C$8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FieldApplications!$C$8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FieldApplications!$C$8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FieldApplications!$C$9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FieldApplications!$C$9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FieldApplications!$C$9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FieldApplications!$C$10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FieldApplications!$C$10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FieldApplications!$C$10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FieldApplications!$C$11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FieldApplications!$C$11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FieldApplications!$C$11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FieldApplications!$C$12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FieldApplications!$C$12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FieldApplications!$C$12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FieldApplications!$C$13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FieldApplications!$C$13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FieldApplications!$C$13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FieldApplications!$C$14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FieldApplications!$C$14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FieldApplications!$C$14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FieldApplications!$C$15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FieldApplications!$C$15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FieldApplications!$C$15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FieldApplications!$C$16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FieldApplications!$C$16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FieldApplications!$C$16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'Chem&amp;FertInputs&amp;CInsurance'!F73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12.036583445260488</v>
      </c>
      <c r="I116" s="40">
        <f>(SUM($F8:$F70)+$F115+SUM(I72:I113))*$D116</f>
        <v>11.895700605381602</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12.796356016214853</v>
      </c>
      <c r="I117" s="40">
        <f>(SUM(F8:F70)+(F115+F116+I114))*((D117/12)*MachineAssumptions!D27)</f>
        <v>12.653712140837481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hidden="1">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hidden="1">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hidden="1">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hidden="1">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hidden="1">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hidden="1">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hidden="1">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289.60535399059921</v>
      </c>
      <c r="I137" s="38">
        <f>SUM(F16:F70)+I114+F115+I116+I117+I135+F8+(I9*D9)+(I10*D10)+(I11*D11)+(I12*D12)+(I13*D13)+(I14*D14)+(I15*D15)</f>
        <v>286.50453433032175</v>
      </c>
    </row>
    <row r="138" spans="1:9" ht="21">
      <c r="A138" s="3"/>
      <c r="B138" s="24" t="s">
        <v>32</v>
      </c>
      <c r="C138" s="25"/>
      <c r="D138" s="26"/>
      <c r="E138" s="25"/>
      <c r="F138" s="39">
        <f>F5-F137</f>
        <v>790.41026552666824</v>
      </c>
      <c r="H138" s="215">
        <f>H5-H137</f>
        <v>814.39464600940073</v>
      </c>
      <c r="I138" s="215">
        <f>I5-I137</f>
        <v>841.4954656696782</v>
      </c>
    </row>
    <row r="141" spans="1:9">
      <c r="F141" s="237" t="s">
        <v>8</v>
      </c>
      <c r="G141" s="1"/>
      <c r="H141" s="1">
        <v>39.068403307831957</v>
      </c>
      <c r="I141" s="1">
        <v>39.068403307831957</v>
      </c>
    </row>
  </sheetData>
  <mergeCells count="1">
    <mergeCell ref="B2:F2"/>
  </mergeCells>
  <pageMargins left="0.7" right="0.7" top="0.75" bottom="0.75" header="0.3" footer="0.3"/>
  <pageSetup scale="29" orientation="portrait" r:id="rId1"/>
  <ignoredErrors>
    <ignoredError sqref="B5:E7 F4:F5 C8:E8 B63:F70 B114:F114 B135:F135 B121:C134 E121:F134 F137 B2 B72:B113 D72:F113 C13:G13 B60:F61 C14:F14 B16:F20 B21:F31 B33:F40 B42:F51 B54:F57 B52:F53 B58:G59 B41:G41 B32:G32 C15:G15 B4:E4 B116:F120 B115:D115 E115:F115 C9:G9 C10:G10 C11:G11 C12:G12 B9:B15" unlockedFormula="1"/>
    <ignoredError sqref="D121:D134" formula="1" unlockedFormula="1"/>
    <ignoredError sqref="G2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6A52-4DA6-B44A-9030-0C5AE1CBC640}">
  <sheetPr codeName="Sheet41">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t="s">
        <v>8</v>
      </c>
      <c r="C1" s="5"/>
      <c r="D1" s="10"/>
      <c r="E1" s="5"/>
      <c r="F1" s="5"/>
    </row>
    <row r="2" spans="1:18" ht="20">
      <c r="A2" s="3"/>
      <c r="B2" s="709" t="str">
        <f>'Prices_Yields&amp;SeedInputs'!B6&amp;", Cash Costs and Returns of Producing, $/acre."</f>
        <v>SW Winter Wheat after Forage Crop, Cash Costs and Returns of Producing, $/acre.</v>
      </c>
      <c r="C2" s="709"/>
      <c r="D2" s="709"/>
      <c r="E2" s="709"/>
      <c r="F2" s="709"/>
      <c r="Q2" s="579"/>
      <c r="R2" s="57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'Prices_Yields&amp;SeedInputs'!B6</f>
        <v>SW Winter Wheat after Forage Crop</v>
      </c>
      <c r="C4" s="15" t="str">
        <f>'Prices_Yields&amp;SeedInputs'!C6</f>
        <v>bu</v>
      </c>
      <c r="D4" s="112">
        <f>'Prices_Yields&amp;SeedInputs'!D6</f>
        <v>12</v>
      </c>
      <c r="E4" s="77">
        <f>'Prices_Yields&amp;SeedInputs'!E6</f>
        <v>93</v>
      </c>
      <c r="F4" s="28">
        <f>D4*E4</f>
        <v>1116</v>
      </c>
      <c r="Q4" s="579"/>
      <c r="R4" s="579"/>
    </row>
    <row r="5" spans="1:18" ht="20.5" customHeight="1">
      <c r="A5" s="3"/>
      <c r="B5" s="9" t="s">
        <v>14</v>
      </c>
      <c r="C5" s="22"/>
      <c r="D5" s="23"/>
      <c r="E5" s="22"/>
      <c r="F5" s="37">
        <f>SUM(F4:F4)</f>
        <v>1116</v>
      </c>
      <c r="H5">
        <f>D4*'Prices_Yields&amp;SeedInputs'!F6</f>
        <v>1140</v>
      </c>
      <c r="I5">
        <f>D4*'Prices_Yields&amp;SeedInputs'!G6</f>
        <v>1152</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'Prices_Yields&amp;SeedInputs'!H6</f>
        <v>pound</v>
      </c>
      <c r="D8" s="73">
        <f>'Prices_Yields&amp;SeedInputs'!I6</f>
        <v>0.25</v>
      </c>
      <c r="E8" s="116">
        <f>'Prices_Yields&amp;SeedInputs'!J6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'Chem&amp;FertInputs&amp;CInsurance'!G6</f>
        <v>93</v>
      </c>
      <c r="F9" s="101">
        <f t="shared" si="0"/>
        <v>45.337499999999999</v>
      </c>
      <c r="H9">
        <f>'Chem&amp;FertInputs&amp;CInsurance'!G7</f>
        <v>93</v>
      </c>
      <c r="I9">
        <f>'Chem&amp;FertInputs&amp;CInsurance'!G8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'Chem&amp;FertInputs&amp;CInsurance'!G9</f>
        <v>0</v>
      </c>
      <c r="F10" s="101" t="str">
        <f t="shared" si="0"/>
        <v>0</v>
      </c>
      <c r="H10">
        <f>'Chem&amp;FertInputs&amp;CInsurance'!G10</f>
        <v>0</v>
      </c>
      <c r="I10">
        <f>'Chem&amp;FertInputs&amp;CInsurance'!G11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'Chem&amp;FertInputs&amp;CInsurance'!G12</f>
        <v>23</v>
      </c>
      <c r="F11" s="101">
        <f t="shared" si="0"/>
        <v>10.924999999999999</v>
      </c>
      <c r="H11">
        <f>'Chem&amp;FertInputs&amp;CInsurance'!G13</f>
        <v>23</v>
      </c>
      <c r="I11">
        <f>'Chem&amp;FertInputs&amp;CInsurance'!G14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'Chem&amp;FertInputs&amp;CInsurance'!G15</f>
        <v>30</v>
      </c>
      <c r="F12" s="101">
        <f t="shared" si="0"/>
        <v>13.23</v>
      </c>
      <c r="H12">
        <f>'Chem&amp;FertInputs&amp;CInsurance'!G16</f>
        <v>30</v>
      </c>
      <c r="I12">
        <f>'Chem&amp;FertInputs&amp;CInsurance'!G17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'Chem&amp;FertInputs&amp;CInsurance'!G18</f>
        <v>9</v>
      </c>
      <c r="F13" s="101">
        <f t="shared" si="0"/>
        <v>2.2995000000000001</v>
      </c>
      <c r="H13">
        <f>'Chem&amp;FertInputs&amp;CInsurance'!G19</f>
        <v>9</v>
      </c>
      <c r="I13">
        <f>'Chem&amp;FertInputs&amp;CInsurance'!G20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'Chem&amp;FertInputs&amp;CInsurance'!G21</f>
        <v>3.4</v>
      </c>
      <c r="F14" s="101">
        <f t="shared" ref="F14:F20" si="1">IF(D14*E14=0,"0",D14*E14)</f>
        <v>1.6319999999999999</v>
      </c>
      <c r="G14" s="146">
        <f>E14/128</f>
        <v>2.6562499999999999E-2</v>
      </c>
      <c r="H14">
        <f>'Chem&amp;FertInputs&amp;CInsurance'!G22</f>
        <v>3.4</v>
      </c>
      <c r="I14">
        <f>'Chem&amp;FertInputs&amp;CInsurance'!G23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'Chem&amp;FertInputs&amp;CInsurance'!G24</f>
        <v>0</v>
      </c>
      <c r="F15" s="101" t="str">
        <f t="shared" si="1"/>
        <v>0</v>
      </c>
      <c r="G15" s="146">
        <f>E15/16</f>
        <v>0</v>
      </c>
      <c r="H15">
        <f>'Chem&amp;FertInputs&amp;CInsurance'!G25</f>
        <v>0</v>
      </c>
      <c r="I15">
        <f>'Chem&amp;FertInputs&amp;CInsurance'!G26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'Chem&amp;FertInputs&amp;CInsurance'!G27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'Chem&amp;FertInputs&amp;CInsurance'!G28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'Chem&amp;FertInputs&amp;CInsurance'!G29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'Chem&amp;FertInputs&amp;CInsurance'!G30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'Chem&amp;FertInputs&amp;CInsurance'!G31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'Chem&amp;FertInputs&amp;CInsurance'!G33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'Chem&amp;FertInputs&amp;CInsurance'!G34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'Chem&amp;FertInputs&amp;CInsurance'!G35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'Chem&amp;FertInputs&amp;CInsurance'!G36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'Chem&amp;FertInputs&amp;CInsurance'!G37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'Chem&amp;FertInputs&amp;CInsurance'!G38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'Chem&amp;FertInputs&amp;CInsurance'!G39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'Chem&amp;FertInputs&amp;CInsurance'!G40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'Chem&amp;FertInputs&amp;CInsurance'!G41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'Chem&amp;FertInputs&amp;CInsurance'!G42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'Chem&amp;FertInputs&amp;CInsurance'!G43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'Chem&amp;FertInputs&amp;CInsurance'!G44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'Chem&amp;FertInputs&amp;CInsurance'!G45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'Chem&amp;FertInputs&amp;CInsurance'!G46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'Chem&amp;FertInputs&amp;CInsurance'!G47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'Chem&amp;FertInputs&amp;CInsurance'!G48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'Chem&amp;FertInputs&amp;CInsurance'!G49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'Chem&amp;FertInputs&amp;CInsurance'!G50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'Chem&amp;FertInputs&amp;CInsurance'!G51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'Chem&amp;FertInputs&amp;CInsurance'!G52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'Chem&amp;FertInputs&amp;CInsurance'!G53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'Chem&amp;FertInputs&amp;CInsurance'!G54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'Chem&amp;FertInputs&amp;CInsurance'!G55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'Chem&amp;FertInputs&amp;CInsurance'!G56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'Chem&amp;FertInputs&amp;CInsurance'!G57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'Chem&amp;FertInputs&amp;CInsurance'!G58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'Chem&amp;FertInputs&amp;CInsurance'!G59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'Chem&amp;FertInputs&amp;CInsurance'!G60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'Chem&amp;FertInputs&amp;CInsurance'!G61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'Chem&amp;FertInputs&amp;CInsurance'!G62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'Chem&amp;FertInputs&amp;CInsurance'!G63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'Chem&amp;FertInputs&amp;CInsurance'!G64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'Chem&amp;FertInputs&amp;CInsurance'!G65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'Chem&amp;FertInputs&amp;CInsurance'!G66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'Chem&amp;FertInputs&amp;CInsurance'!G67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'Chem&amp;FertInputs&amp;CInsurance'!G68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'Chem&amp;FertInputs&amp;CInsurance'!G69</f>
        <v>0</v>
      </c>
      <c r="F57" s="101" t="str">
        <f t="shared" ref="F57:F58" si="9">IF(D57*E57=0,"0",D57*E57)</f>
        <v>0</v>
      </c>
      <c r="G57" s="146">
        <f>E57/128</f>
        <v>0</v>
      </c>
      <c r="J57" s="153"/>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'Chem&amp;FertInputs&amp;CInsurance'!G70</f>
        <v>0</v>
      </c>
      <c r="F58" s="101" t="str">
        <f t="shared" si="9"/>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'Chem&amp;FertInputs&amp;CInsurance'!G71</f>
        <v>0</v>
      </c>
      <c r="F59" s="101" t="str">
        <f t="shared" ref="F59" si="11">IF(D59*E59=0,"0",D59*E59)</f>
        <v>0</v>
      </c>
      <c r="G59" s="146">
        <f t="shared" si="10"/>
        <v>0</v>
      </c>
      <c r="J59" s="153" t="s">
        <v>8</v>
      </c>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'Chem&amp;FertInputs&amp;CInsurance'!G72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'Chem&amp;FertInputs&amp;CInsurance'!G32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CustomRates!E5</f>
        <v>8.9499999999999993</v>
      </c>
      <c r="E63" s="74">
        <f>CustomRates!E6</f>
        <v>0</v>
      </c>
      <c r="F63" s="101" t="str">
        <f t="shared" ref="F63:F70" si="12">IF(D63*E63=0,"0",D63*E63)</f>
        <v>0</v>
      </c>
      <c r="G63" s="190" t="s">
        <v>8</v>
      </c>
      <c r="H63" s="190" t="s">
        <v>8</v>
      </c>
    </row>
    <row r="64" spans="1:11" ht="20">
      <c r="A64" s="3"/>
      <c r="B64" s="108" t="str">
        <f>CustomRates!B7</f>
        <v>Sprayer (Rental 90')</v>
      </c>
      <c r="C64" s="32" t="str">
        <f>CustomRates!C7</f>
        <v>acre</v>
      </c>
      <c r="D64" s="100">
        <f>CustomRates!E7</f>
        <v>8</v>
      </c>
      <c r="E64" s="74">
        <f>CustomRates!E8</f>
        <v>1</v>
      </c>
      <c r="F64" s="101">
        <f t="shared" si="12"/>
        <v>8</v>
      </c>
    </row>
    <row r="65" spans="1:9" ht="20">
      <c r="A65" s="3"/>
      <c r="B65" s="108" t="str">
        <f>CustomRates!B9</f>
        <v>Fertilizer - Anhydrous Applicator (Rent)</v>
      </c>
      <c r="C65" s="32" t="str">
        <f>CustomRates!C9</f>
        <v>acre</v>
      </c>
      <c r="D65" s="100">
        <f>CustomRates!E9</f>
        <v>7</v>
      </c>
      <c r="E65" s="74">
        <f>CustomRates!E10</f>
        <v>0</v>
      </c>
      <c r="F65" s="101" t="str">
        <f t="shared" si="12"/>
        <v>0</v>
      </c>
    </row>
    <row r="66" spans="1:9" ht="20">
      <c r="A66" s="3"/>
      <c r="B66" s="108" t="str">
        <f>CustomRates!B11</f>
        <v>Fertilizer Applicator</v>
      </c>
      <c r="C66" s="32" t="str">
        <f>CustomRates!C11</f>
        <v>acre</v>
      </c>
      <c r="D66" s="100">
        <f>CustomRates!E11</f>
        <v>2</v>
      </c>
      <c r="E66" s="74">
        <f>CustomRates!E12</f>
        <v>0</v>
      </c>
      <c r="F66" s="101" t="str">
        <f t="shared" si="12"/>
        <v>0</v>
      </c>
    </row>
    <row r="67" spans="1:9" ht="20">
      <c r="A67" s="3"/>
      <c r="B67" s="108" t="str">
        <f>CustomRates!B13</f>
        <v>26' Rental Shredder</v>
      </c>
      <c r="C67" s="32" t="str">
        <f>CustomRates!C13</f>
        <v>acre</v>
      </c>
      <c r="D67" s="100">
        <f>CustomRates!E13</f>
        <v>10</v>
      </c>
      <c r="E67" s="74">
        <f>CustomRates!E14</f>
        <v>0</v>
      </c>
      <c r="F67" s="101" t="str">
        <f t="shared" si="12"/>
        <v>0</v>
      </c>
    </row>
    <row r="68" spans="1:9" ht="20">
      <c r="A68" s="3"/>
      <c r="B68" s="108" t="str">
        <f>CustomRates!B15</f>
        <v>36' Ripper Shooter</v>
      </c>
      <c r="C68" s="32" t="str">
        <f>CustomRates!C15</f>
        <v>acre</v>
      </c>
      <c r="D68" s="100">
        <f>CustomRates!E15</f>
        <v>2.5</v>
      </c>
      <c r="E68" s="74">
        <f>CustomRates!E16</f>
        <v>0</v>
      </c>
      <c r="F68" s="101" t="str">
        <f t="shared" si="12"/>
        <v>0</v>
      </c>
    </row>
    <row r="69" spans="1:9" ht="20">
      <c r="A69" s="3"/>
      <c r="B69" s="108" t="str">
        <f>CustomRates!B17</f>
        <v>Custom self-propelled sprayer</v>
      </c>
      <c r="C69" s="32" t="str">
        <f>CustomRates!C17</f>
        <v>acre</v>
      </c>
      <c r="D69" s="100">
        <f>CustomRates!E17</f>
        <v>8</v>
      </c>
      <c r="E69" s="74">
        <f>CustomRates!E18</f>
        <v>0</v>
      </c>
      <c r="F69" s="101" t="str">
        <f t="shared" si="12"/>
        <v>0</v>
      </c>
    </row>
    <row r="70" spans="1:9" ht="20">
      <c r="A70" s="3"/>
      <c r="B70" s="108" t="str">
        <f>CustomRates!B19</f>
        <v>Additional Operation #8 (Custom)</v>
      </c>
      <c r="C70" s="32" t="str">
        <f>CustomRates!C19</f>
        <v>acre</v>
      </c>
      <c r="D70" s="100">
        <f>CustomRates!E19</f>
        <v>0</v>
      </c>
      <c r="E70" s="74">
        <f>CustomRates!E20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FieldApplications!$O$15</f>
        <v>1</v>
      </c>
      <c r="F101" s="101">
        <f t="shared" si="13"/>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'Chem&amp;FertInputs&amp;CInsurance'!G73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12.036583445260488</v>
      </c>
      <c r="I116" s="40">
        <f>(SUM($F8:$F70)+$F115+SUM(I72:I113))*$D116</f>
        <v>11.895700605381602</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12.796356016214853</v>
      </c>
      <c r="I117" s="40">
        <f>(SUM(F8:F70)+(F115+F116+I114))*((D117/12)*MachineAssumptions!D27)</f>
        <v>12.653712140837481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5"/>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24.040745623914123</v>
      </c>
      <c r="I135" s="37">
        <f t="shared" si="19"/>
        <v>24.041109476470602</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289.60535399059921</v>
      </c>
      <c r="I137" s="38">
        <f>SUM(F16:F70)+I114+F115+I116+I117+I135+F8+(I9*D9)+(I10*D10)+(I11*D11)+(I12*D12)+(I13*D13)+(I14*D14)+(I15*D15)</f>
        <v>286.50453433032175</v>
      </c>
    </row>
    <row r="138" spans="1:9" ht="21">
      <c r="A138" s="3"/>
      <c r="B138" s="24" t="s">
        <v>32</v>
      </c>
      <c r="C138" s="25"/>
      <c r="D138" s="26"/>
      <c r="E138" s="25"/>
      <c r="F138" s="39">
        <f>F5-F137</f>
        <v>826.41026552666824</v>
      </c>
      <c r="H138" s="215">
        <f>H5-H137</f>
        <v>850.39464600940073</v>
      </c>
      <c r="I138" s="215">
        <f>I5-I137</f>
        <v>865.4954656696782</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63:F70 B114:F114 B135:F138 B121:C134 E121:F134 B2 D72:E91 B72:B113 D92:F113 B60:F61 G9:G13 C13:F13 B54:F56 B42:F51 B33:F40 B21:F31 B16:F16 C15:G15 B17:G20 G16 B32:G32 G21:G31 B41:G41 G33:G40 B52:G53 G42:G51 B57:G59 G54:G56 B4:E4 B116:F120 B115:D115 E115:F115 C9:F9 C10:F10 C11:F11 C12:F12 C14:G14 B9:B15" unlockedFormula="1"/>
    <ignoredError sqref="D121:D134" formula="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106BA-B56A-7B45-A6B1-0371BEF28BA8}">
  <sheetPr codeName="Sheet42">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5" width="12.83203125" customWidth="1"/>
    <col min="6" max="6" width="13.33203125" customWidth="1"/>
    <col min="7" max="16" width="11.5" hidden="1" customWidth="1"/>
  </cols>
  <sheetData>
    <row r="1" spans="1:18" ht="20">
      <c r="A1" s="302" t="s">
        <v>8</v>
      </c>
      <c r="B1" s="20"/>
      <c r="C1" s="5"/>
      <c r="D1" s="10"/>
      <c r="E1" s="5"/>
      <c r="F1" s="5"/>
    </row>
    <row r="2" spans="1:18" ht="20">
      <c r="A2" s="3"/>
      <c r="B2" s="709" t="str">
        <f>'Prices_Yields&amp;SeedInputs'!B7&amp;", Cash Costs and Returns of Producing, $/acre."</f>
        <v>DN Spring Wheat after Spring Legume,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'Prices_Yields&amp;SeedInputs'!B7</f>
        <v>DN Spring Wheat after Spring Legume</v>
      </c>
      <c r="C4" s="15" t="str">
        <f>'Prices_Yields&amp;SeedInputs'!C7</f>
        <v>bu</v>
      </c>
      <c r="D4" s="75">
        <f>'Prices_Yields&amp;SeedInputs'!D7</f>
        <v>14</v>
      </c>
      <c r="E4" s="111">
        <f>'Prices_Yields&amp;SeedInputs'!E7</f>
        <v>62</v>
      </c>
      <c r="F4" s="28">
        <f>D4*E4</f>
        <v>868</v>
      </c>
      <c r="Q4" s="579"/>
      <c r="R4" s="579"/>
    </row>
    <row r="5" spans="1:18" ht="20.5" customHeight="1">
      <c r="A5" s="3"/>
      <c r="B5" s="9" t="s">
        <v>14</v>
      </c>
      <c r="C5" s="22"/>
      <c r="D5" s="23"/>
      <c r="E5" s="22"/>
      <c r="F5" s="37">
        <f>SUM(F4:F4)</f>
        <v>868</v>
      </c>
      <c r="H5">
        <f>D4*'Prices_Yields&amp;SeedInputs'!F7</f>
        <v>896</v>
      </c>
      <c r="I5">
        <f>D4*'Prices_Yields&amp;SeedInputs'!G7</f>
        <v>924</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'Prices_Yields&amp;SeedInputs'!H7</f>
        <v>pound</v>
      </c>
      <c r="D8" s="73">
        <f>'Prices_Yields&amp;SeedInputs'!I7</f>
        <v>0.3</v>
      </c>
      <c r="E8" s="116">
        <f>'Prices_Yields&amp;SeedInputs'!J7</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'Chem&amp;FertInputs&amp;CInsurance'!H6</f>
        <v>100</v>
      </c>
      <c r="F9" s="101">
        <f t="shared" si="0"/>
        <v>48.75</v>
      </c>
      <c r="H9">
        <f>'Chem&amp;FertInputs&amp;CInsurance'!H7</f>
        <v>100</v>
      </c>
      <c r="I9">
        <f>'Chem&amp;FertInputs&amp;CInsurance'!H8</f>
        <v>100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'Chem&amp;FertInputs&amp;CInsurance'!H9</f>
        <v>0</v>
      </c>
      <c r="F10" s="101" t="str">
        <f t="shared" si="0"/>
        <v>0</v>
      </c>
      <c r="H10">
        <f>'Chem&amp;FertInputs&amp;CInsurance'!H10</f>
        <v>0</v>
      </c>
      <c r="I10">
        <f>'Chem&amp;FertInputs&amp;CInsurance'!H11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'Chem&amp;FertInputs&amp;CInsurance'!H12</f>
        <v>5</v>
      </c>
      <c r="F11" s="101">
        <f t="shared" si="0"/>
        <v>2.375</v>
      </c>
      <c r="H11">
        <f>'Chem&amp;FertInputs&amp;CInsurance'!H13</f>
        <v>5</v>
      </c>
      <c r="I11">
        <f>'Chem&amp;FertInputs&amp;CInsurance'!H14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'Chem&amp;FertInputs&amp;CInsurance'!H15</f>
        <v>0</v>
      </c>
      <c r="F12" s="101" t="str">
        <f t="shared" si="0"/>
        <v>0</v>
      </c>
      <c r="H12">
        <f>'Chem&amp;FertInputs&amp;CInsurance'!H16</f>
        <v>0</v>
      </c>
      <c r="I12">
        <f>'Chem&amp;FertInputs&amp;CInsurance'!H17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'Chem&amp;FertInputs&amp;CInsurance'!H18</f>
        <v>20</v>
      </c>
      <c r="F13" s="101">
        <f t="shared" si="0"/>
        <v>5.1100000000000003</v>
      </c>
      <c r="H13">
        <f>'Chem&amp;FertInputs&amp;CInsurance'!H19</f>
        <v>20</v>
      </c>
      <c r="I13">
        <f>'Chem&amp;FertInputs&amp;CInsurance'!H20</f>
        <v>20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'Chem&amp;FertInputs&amp;CInsurance'!H21</f>
        <v>3.4</v>
      </c>
      <c r="F14" s="101">
        <f t="shared" ref="F14:F20" si="1">IF(D14*E14=0,"0",D14*E14)</f>
        <v>1.6319999999999999</v>
      </c>
      <c r="G14" s="146">
        <f>E14/128</f>
        <v>2.6562499999999999E-2</v>
      </c>
      <c r="H14">
        <f>'Chem&amp;FertInputs&amp;CInsurance'!H22</f>
        <v>3.4</v>
      </c>
      <c r="I14">
        <f>'Chem&amp;FertInputs&amp;CInsurance'!H23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'Chem&amp;FertInputs&amp;CInsurance'!H24</f>
        <v>0</v>
      </c>
      <c r="F15" s="101" t="str">
        <f t="shared" si="1"/>
        <v>0</v>
      </c>
      <c r="G15" s="146">
        <f>E15/16</f>
        <v>0</v>
      </c>
      <c r="H15">
        <f>'Chem&amp;FertInputs&amp;CInsurance'!H25</f>
        <v>0</v>
      </c>
      <c r="I15">
        <f>'Chem&amp;FertInputs&amp;CInsurance'!H26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'Chem&amp;FertInputs&amp;CInsurance'!H27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'Chem&amp;FertInputs&amp;CInsurance'!H28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'Chem&amp;FertInputs&amp;CInsurance'!H29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'Chem&amp;FertInputs&amp;CInsurance'!H30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'Chem&amp;FertInputs&amp;CInsurance'!H31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'Chem&amp;FertInputs&amp;CInsurance'!H33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'Chem&amp;FertInputs&amp;CInsurance'!H34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'Chem&amp;FertInputs&amp;CInsurance'!H35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'Chem&amp;FertInputs&amp;CInsurance'!H36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'Chem&amp;FertInputs&amp;CInsurance'!H37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'Chem&amp;FertInputs&amp;CInsurance'!H38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'Chem&amp;FertInputs&amp;CInsurance'!H39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'Chem&amp;FertInputs&amp;CInsurance'!H40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'Chem&amp;FertInputs&amp;CInsurance'!H41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'Chem&amp;FertInputs&amp;CInsurance'!H42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'Chem&amp;FertInputs&amp;CInsurance'!H43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'Chem&amp;FertInputs&amp;CInsurance'!H44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'Chem&amp;FertInputs&amp;CInsurance'!H45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'Chem&amp;FertInputs&amp;CInsurance'!H46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'Chem&amp;FertInputs&amp;CInsurance'!H47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'Chem&amp;FertInputs&amp;CInsurance'!H48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'Chem&amp;FertInputs&amp;CInsurance'!H49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'Chem&amp;FertInputs&amp;CInsurance'!H50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'Chem&amp;FertInputs&amp;CInsurance'!H51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'Chem&amp;FertInputs&amp;CInsurance'!H52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'Chem&amp;FertInputs&amp;CInsurance'!H53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'Chem&amp;FertInputs&amp;CInsurance'!H54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'Chem&amp;FertInputs&amp;CInsurance'!H55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'Chem&amp;FertInputs&amp;CInsurance'!H56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'Chem&amp;FertInputs&amp;CInsurance'!H57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'Chem&amp;FertInputs&amp;CInsurance'!H58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'Chem&amp;FertInputs&amp;CInsurance'!H59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'Chem&amp;FertInputs&amp;CInsurance'!H60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'Chem&amp;FertInputs&amp;CInsurance'!H61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'Chem&amp;FertInputs&amp;CInsurance'!H62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'Chem&amp;FertInputs&amp;CInsurance'!H63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'Chem&amp;FertInputs&amp;CInsurance'!H64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'Chem&amp;FertInputs&amp;CInsurance'!H65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'Chem&amp;FertInputs&amp;CInsurance'!H66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'Chem&amp;FertInputs&amp;CInsurance'!H67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'Chem&amp;FertInputs&amp;CInsurance'!H68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'Chem&amp;FertInputs&amp;CInsurance'!H69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'Chem&amp;FertInputs&amp;CInsurance'!H70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'Chem&amp;FertInputs&amp;CInsurance'!H71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'Chem&amp;FertInputs&amp;CInsurance'!H72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'Chem&amp;FertInputs&amp;CInsurance'!H32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CustomRates!F5</f>
        <v>8.9499999999999993</v>
      </c>
      <c r="E63" s="74">
        <f>CustomRates!F6</f>
        <v>0</v>
      </c>
      <c r="F63" s="101" t="str">
        <f t="shared" ref="F63:F70" si="11">IF(D63*E63=0,"0",D63*E63)</f>
        <v>0</v>
      </c>
    </row>
    <row r="64" spans="1:7" ht="20">
      <c r="A64" s="3"/>
      <c r="B64" s="108" t="str">
        <f>CustomRates!B7</f>
        <v>Sprayer (Rental 90')</v>
      </c>
      <c r="C64" s="32" t="str">
        <f>CustomRates!C7</f>
        <v>acre</v>
      </c>
      <c r="D64" s="100">
        <f>CustomRates!F7</f>
        <v>8</v>
      </c>
      <c r="E64" s="74">
        <f>CustomRates!F8</f>
        <v>1</v>
      </c>
      <c r="F64" s="101">
        <f t="shared" si="11"/>
        <v>8</v>
      </c>
    </row>
    <row r="65" spans="1:9" ht="20">
      <c r="A65" s="3"/>
      <c r="B65" s="108" t="str">
        <f>CustomRates!B9</f>
        <v>Fertilizer - Anhydrous Applicator (Rent)</v>
      </c>
      <c r="C65" s="32" t="str">
        <f>CustomRates!C9</f>
        <v>acre</v>
      </c>
      <c r="D65" s="100">
        <f>CustomRates!F9</f>
        <v>7</v>
      </c>
      <c r="E65" s="74">
        <f>CustomRates!F10</f>
        <v>0</v>
      </c>
      <c r="F65" s="101" t="str">
        <f t="shared" si="11"/>
        <v>0</v>
      </c>
    </row>
    <row r="66" spans="1:9" ht="20">
      <c r="A66" s="3"/>
      <c r="B66" s="108" t="str">
        <f>CustomRates!B11</f>
        <v>Fertilizer Applicator</v>
      </c>
      <c r="C66" s="32" t="str">
        <f>CustomRates!C11</f>
        <v>acre</v>
      </c>
      <c r="D66" s="100">
        <f>CustomRates!F11</f>
        <v>2</v>
      </c>
      <c r="E66" s="74">
        <f>CustomRates!F12</f>
        <v>0</v>
      </c>
      <c r="F66" s="101" t="str">
        <f t="shared" si="11"/>
        <v>0</v>
      </c>
    </row>
    <row r="67" spans="1:9" ht="20">
      <c r="A67" s="3"/>
      <c r="B67" s="108" t="str">
        <f>CustomRates!B13</f>
        <v>26' Rental Shredder</v>
      </c>
      <c r="C67" s="32" t="str">
        <f>CustomRates!C13</f>
        <v>acre</v>
      </c>
      <c r="D67" s="100">
        <f>CustomRates!F13</f>
        <v>10</v>
      </c>
      <c r="E67" s="74">
        <f>CustomRates!F14</f>
        <v>0</v>
      </c>
      <c r="F67" s="101" t="str">
        <f t="shared" si="11"/>
        <v>0</v>
      </c>
    </row>
    <row r="68" spans="1:9" ht="20">
      <c r="A68" s="3"/>
      <c r="B68" s="108" t="str">
        <f>CustomRates!B15</f>
        <v>36' Ripper Shooter</v>
      </c>
      <c r="C68" s="32" t="str">
        <f>CustomRates!C15</f>
        <v>acre</v>
      </c>
      <c r="D68" s="100">
        <f>CustomRates!F15</f>
        <v>2.5</v>
      </c>
      <c r="E68" s="74">
        <f>CustomRates!F16</f>
        <v>0</v>
      </c>
      <c r="F68" s="101" t="str">
        <f t="shared" si="11"/>
        <v>0</v>
      </c>
    </row>
    <row r="69" spans="1:9" ht="20">
      <c r="A69" s="3"/>
      <c r="B69" s="108" t="str">
        <f>CustomRates!B17</f>
        <v>Custom self-propelled sprayer</v>
      </c>
      <c r="C69" s="32" t="str">
        <f>CustomRates!C17</f>
        <v>acre</v>
      </c>
      <c r="D69" s="100">
        <f>CustomRates!F17</f>
        <v>8</v>
      </c>
      <c r="E69" s="74">
        <f>CustomRates!F18</f>
        <v>0</v>
      </c>
      <c r="F69" s="101" t="str">
        <f t="shared" si="11"/>
        <v>0</v>
      </c>
    </row>
    <row r="70" spans="1:9" ht="20">
      <c r="A70" s="3"/>
      <c r="B70" s="108" t="str">
        <f>CustomRates!B19</f>
        <v>Additional Operation #8 (Custom)</v>
      </c>
      <c r="C70" s="32" t="str">
        <f>CustomRates!C19</f>
        <v>acre</v>
      </c>
      <c r="D70" s="100">
        <f>CustomRates!F19</f>
        <v>0</v>
      </c>
      <c r="E70" s="74">
        <f>CustomRates!F20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FieldApplications!$E$6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FieldApplications!$E$6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FieldApplications!$E$6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FieldApplications!$E$7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FieldApplications!$E$7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FieldApplications!$E$7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FieldApplications!$E$8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FieldApplications!$E$8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FieldApplications!$E$8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FieldApplications!$E$9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FieldApplications!$E$9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FieldApplications!$E$9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FieldApplications!$E$10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FieldApplications!$E$10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FieldApplications!$E$10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FieldApplications!$E$11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FieldApplications!$E$11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FieldApplications!$E$11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FieldApplications!$E$12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FieldApplications!$E$12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FieldApplications!$E$12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FieldApplications!$E$13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FieldApplications!$E$13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FieldApplications!$E$13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FieldApplications!$E$14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FieldApplications!$E$14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FieldApplications!$E$14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FieldApplications!$E$15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FieldApplications!$E$15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FieldApplications!$E$15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FieldApplications!$E$16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FieldApplications!$E$16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FieldApplications!$E$16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'Chem&amp;FertInputs&amp;CInsurance'!H73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11.433007341009542</v>
      </c>
      <c r="G116" t="s">
        <v>111</v>
      </c>
      <c r="H116" s="40">
        <f>(SUM($F8:$F70)+$F115+SUM(H72:H113))*$D116</f>
        <v>11.433733445260486</v>
      </c>
      <c r="I116" s="40">
        <f>(SUM($F8:$F70)+$F115+SUM(I72:I113))*$D116</f>
        <v>11.292850605381602</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12.154715929410772</v>
      </c>
      <c r="G117" t="s">
        <v>4</v>
      </c>
      <c r="H117" s="40">
        <f>(SUM(F8:F70)+(F115+F116+H114))*((D117/12)*MachineAssumptions!D27)</f>
        <v>12.155451109964853</v>
      </c>
      <c r="I117" s="40">
        <f>(SUM(F8:F70)+(F115+F116+I114))*((D117/12)*MachineAssumptions!D27)</f>
        <v>12.012807234587479</v>
      </c>
      <c r="J117" s="40">
        <f>F73+F76+F79+F82+F85+F88+F91+F94+F97+F100+F103+F106+F109+F112</f>
        <v>37.921401983080372</v>
      </c>
      <c r="K117" t="s">
        <v>4</v>
      </c>
    </row>
    <row r="118" spans="1:13" ht="20">
      <c r="A118" s="3"/>
      <c r="B118" s="9" t="s">
        <v>85</v>
      </c>
      <c r="C118" s="22"/>
      <c r="D118" s="124"/>
      <c r="E118" s="125"/>
      <c r="F118" s="126">
        <f>SUM(F8:F117)</f>
        <v>252.24787009061117</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276.28897956708175</v>
      </c>
      <c r="H137" s="38">
        <f>SUM(F16:F70)+H114+F115+H116+H117+H135+F8+(H9*D9)+(H10*D10)+(H11*D11)+(H12*D12)+(H13*D13)+(H14*D14)+(H15*D15)</f>
        <v>276.30459908434921</v>
      </c>
      <c r="I137" s="38">
        <f>SUM(F16:F70)+I114+F115+I116+I117+I135+F8+(I9*D9)+(I10*D10)+(I11*D11)+(I12*D12)+(I13*D13)+(I14*D14)+(I15*D15)</f>
        <v>273.20377942407174</v>
      </c>
    </row>
    <row r="138" spans="1:9" ht="21">
      <c r="A138" s="3"/>
      <c r="B138" s="24" t="s">
        <v>32</v>
      </c>
      <c r="C138" s="25"/>
      <c r="D138" s="26"/>
      <c r="E138" s="25"/>
      <c r="F138" s="39">
        <f>F5-F137</f>
        <v>591.7110204329183</v>
      </c>
      <c r="H138" s="215">
        <f>H5-H137</f>
        <v>619.69540091565079</v>
      </c>
      <c r="I138" s="215">
        <f>I5-I137</f>
        <v>650.79622057592826</v>
      </c>
    </row>
    <row r="139" spans="1:9">
      <c r="A139" s="3"/>
    </row>
    <row r="140" spans="1:9">
      <c r="A140" s="3"/>
    </row>
    <row r="141" spans="1:9">
      <c r="A141" s="3"/>
    </row>
  </sheetData>
  <mergeCells count="1">
    <mergeCell ref="B2:F2"/>
  </mergeCells>
  <pageMargins left="0.7" right="0.7" top="0.75" bottom="0.75" header="0.3" footer="0.3"/>
  <pageSetup scale="27" orientation="portrait" r:id="rId1"/>
  <ignoredErrors>
    <ignoredError sqref="B3:F3 B63:F70 B114:F114 B135:F138 B121:C134 E121:F134 B2 B72:B113 D72:F113 H60:I61 C13:G13 B61:F61 C14:F14 H16:I31 H33:I40 H42:I51 H54:I57 B54:F57 B42:F51 B33:F40 B21:F31 B60:F60 B16:G20 G60 B32:G32 G21:G31 B41:G41 G33:G40 B52:G53 G42:G51 B58:G59 G54:G57 B4:F5 B116:F120 B115:D115 E115:F115 C9:G9 C10:G10 C11:G11 C12:G12 C15:G15 B9:B15" unlockedFormula="1"/>
    <ignoredError sqref="D121:D134" formula="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2B8-D53B-1C43-B14C-797F729C2F30}">
  <sheetPr codeName="Sheet24">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32" width="0" hidden="1" customWidth="1"/>
  </cols>
  <sheetData>
    <row r="1" spans="1:34" ht="20">
      <c r="A1" s="302" t="s">
        <v>8</v>
      </c>
      <c r="B1" s="20"/>
      <c r="C1" s="5"/>
      <c r="D1" s="10"/>
      <c r="E1" s="5"/>
      <c r="F1" s="5"/>
    </row>
    <row r="2" spans="1:34" ht="20">
      <c r="A2" s="3"/>
      <c r="B2" s="709" t="str">
        <f>'Prices_Yields&amp;SeedInputs'!B8&amp;", Cash Costs and Returns of Producing, $/acre."</f>
        <v>DN Spring Wheat after Forage Crop, Cash Costs and Returns of Producing, $/acre.</v>
      </c>
      <c r="C2" s="709"/>
      <c r="D2" s="709"/>
      <c r="E2" s="709"/>
      <c r="F2" s="709"/>
    </row>
    <row r="3" spans="1:34" ht="23">
      <c r="A3" s="3"/>
      <c r="B3" s="21"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'Prices_Yields&amp;SeedInputs'!B8</f>
        <v>DN Spring Wheat after Forage Crop</v>
      </c>
      <c r="C4" s="15" t="str">
        <f>'Prices_Yields&amp;SeedInputs'!C8</f>
        <v>bu</v>
      </c>
      <c r="D4" s="10">
        <f>'Prices_Yields&amp;SeedInputs'!D8</f>
        <v>14</v>
      </c>
      <c r="E4" s="77">
        <f>'Prices_Yields&amp;SeedInputs'!E8</f>
        <v>62</v>
      </c>
      <c r="F4" s="28">
        <f>D4*E4</f>
        <v>868</v>
      </c>
      <c r="AG4" s="579"/>
      <c r="AH4" s="579"/>
    </row>
    <row r="5" spans="1:34" ht="20">
      <c r="A5" s="3"/>
      <c r="B5" s="9" t="s">
        <v>14</v>
      </c>
      <c r="C5" s="22"/>
      <c r="D5" s="23"/>
      <c r="E5" s="22"/>
      <c r="F5" s="37">
        <f>SUM(F4:F4)</f>
        <v>868</v>
      </c>
      <c r="H5">
        <f>D4*'Prices_Yields&amp;SeedInputs'!F8</f>
        <v>896</v>
      </c>
      <c r="I5" s="59">
        <f>D4*'Prices_Yields&amp;SeedInputs'!G8</f>
        <v>924</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'Prices_Yields&amp;SeedInputs'!H8</f>
        <v>pound</v>
      </c>
      <c r="D8" s="73">
        <f>'Prices_Yields&amp;SeedInputs'!I8</f>
        <v>0.3</v>
      </c>
      <c r="E8" s="104">
        <f>'Prices_Yields&amp;SeedInputs'!J8</f>
        <v>100</v>
      </c>
      <c r="F8" s="101">
        <f t="shared" ref="F8:F61" si="0">IF(D8*E8=0,"0",D8*E8)</f>
        <v>30</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'Chem&amp;FertInputs&amp;CInsurance'!I6</f>
        <v>0</v>
      </c>
      <c r="F9" s="101" t="str">
        <f t="shared" si="0"/>
        <v>0</v>
      </c>
      <c r="H9">
        <f>'Chem&amp;FertInputs&amp;CInsurance'!I7</f>
        <v>0</v>
      </c>
      <c r="I9">
        <f>'Chem&amp;FertInputs&amp;CInsurance'!I8</f>
        <v>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'Chem&amp;FertInputs&amp;CInsurance'!I9</f>
        <v>0</v>
      </c>
      <c r="F10" s="101" t="str">
        <f t="shared" si="0"/>
        <v>0</v>
      </c>
      <c r="H10">
        <f>'Chem&amp;FertInputs&amp;CInsurance'!I10</f>
        <v>0</v>
      </c>
      <c r="I10">
        <f>'Chem&amp;FertInputs&amp;CInsurance'!I11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'Chem&amp;FertInputs&amp;CInsurance'!I12</f>
        <v>0</v>
      </c>
      <c r="F11" s="101" t="str">
        <f t="shared" si="0"/>
        <v>0</v>
      </c>
      <c r="H11">
        <f>'Chem&amp;FertInputs&amp;CInsurance'!I13</f>
        <v>0</v>
      </c>
      <c r="I11">
        <f>'Chem&amp;FertInputs&amp;CInsurance'!I14</f>
        <v>0</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'Chem&amp;FertInputs&amp;CInsurance'!I15</f>
        <v>0</v>
      </c>
      <c r="F12" s="101" t="str">
        <f t="shared" si="0"/>
        <v>0</v>
      </c>
      <c r="H12">
        <f>'Chem&amp;FertInputs&amp;CInsurance'!I16</f>
        <v>0</v>
      </c>
      <c r="I12">
        <f>'Chem&amp;FertInputs&amp;CInsurance'!I17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'Chem&amp;FertInputs&amp;CInsurance'!I18</f>
        <v>0</v>
      </c>
      <c r="F13" s="101" t="str">
        <f t="shared" si="0"/>
        <v>0</v>
      </c>
      <c r="H13">
        <f>'Chem&amp;FertInputs&amp;CInsurance'!I19</f>
        <v>0</v>
      </c>
      <c r="I13">
        <f>'Chem&amp;FertInputs&amp;CInsurance'!I20</f>
        <v>0</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'Chem&amp;FertInputs&amp;CInsurance'!I21</f>
        <v>0</v>
      </c>
      <c r="F14" s="101" t="str">
        <f t="shared" ref="F14:F20" si="1">IF(D14*E14=0,"0",D14*E14)</f>
        <v>0</v>
      </c>
      <c r="G14" s="146">
        <f>E14/128</f>
        <v>0</v>
      </c>
      <c r="H14">
        <f>'Chem&amp;FertInputs&amp;CInsurance'!I22</f>
        <v>0</v>
      </c>
      <c r="I14">
        <f>'Chem&amp;FertInputs&amp;CInsurance'!I23</f>
        <v>0</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'Chem&amp;FertInputs&amp;CInsurance'!I24</f>
        <v>0</v>
      </c>
      <c r="F15" s="101" t="str">
        <f t="shared" si="1"/>
        <v>0</v>
      </c>
      <c r="G15" s="146">
        <f>E15/16</f>
        <v>0</v>
      </c>
      <c r="H15">
        <f>'Chem&amp;FertInputs&amp;CInsurance'!I25</f>
        <v>0</v>
      </c>
      <c r="I15">
        <f>'Chem&amp;FertInputs&amp;CInsurance'!I26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'Chem&amp;FertInputs&amp;CInsurance'!I27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'Chem&amp;FertInputs&amp;CInsurance'!I28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'Chem&amp;FertInputs&amp;CInsurance'!I29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'Chem&amp;FertInputs&amp;CInsurance'!I30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'Chem&amp;FertInputs&amp;CInsurance'!I31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'Chem&amp;FertInputs&amp;CInsurance'!I33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'Chem&amp;FertInputs&amp;CInsurance'!I34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'Chem&amp;FertInputs&amp;CInsurance'!I35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'Chem&amp;FertInputs&amp;CInsurance'!I36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'Chem&amp;FertInputs&amp;CInsurance'!I37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'Chem&amp;FertInputs&amp;CInsurance'!I38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'Chem&amp;FertInputs&amp;CInsurance'!I39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'Chem&amp;FertInputs&amp;CInsurance'!I40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'Chem&amp;FertInputs&amp;CInsurance'!I41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'Chem&amp;FertInputs&amp;CInsurance'!I42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'Chem&amp;FertInputs&amp;CInsurance'!I43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'Chem&amp;FertInputs&amp;CInsurance'!I44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'Chem&amp;FertInputs&amp;CInsurance'!I45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'Chem&amp;FertInputs&amp;CInsurance'!I46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'Chem&amp;FertInputs&amp;CInsurance'!I47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'Chem&amp;FertInputs&amp;CInsurance'!I48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'Chem&amp;FertInputs&amp;CInsurance'!I49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'Chem&amp;FertInputs&amp;CInsurance'!I50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'Chem&amp;FertInputs&amp;CInsurance'!I51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'Chem&amp;FertInputs&amp;CInsurance'!I52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'Chem&amp;FertInputs&amp;CInsurance'!I53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'Chem&amp;FertInputs&amp;CInsurance'!I54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'Chem&amp;FertInputs&amp;CInsurance'!I55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'Chem&amp;FertInputs&amp;CInsurance'!I56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'Chem&amp;FertInputs&amp;CInsurance'!I57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'Chem&amp;FertInputs&amp;CInsurance'!I58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'Chem&amp;FertInputs&amp;CInsurance'!I59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'Chem&amp;FertInputs&amp;CInsurance'!I60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'Chem&amp;FertInputs&amp;CInsurance'!I61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'Chem&amp;FertInputs&amp;CInsurance'!I62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'Chem&amp;FertInputs&amp;CInsurance'!I63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'Chem&amp;FertInputs&amp;CInsurance'!I64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'Chem&amp;FertInputs&amp;CInsurance'!I65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'Chem&amp;FertInputs&amp;CInsurance'!I66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'Chem&amp;FertInputs&amp;CInsurance'!I67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'Chem&amp;FertInputs&amp;CInsurance'!I68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'Chem&amp;FertInputs&amp;CInsurance'!I69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'Chem&amp;FertInputs&amp;CInsurance'!I70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'Chem&amp;FertInputs&amp;CInsurance'!I71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'Chem&amp;FertInputs&amp;CInsurance'!I72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'Chem&amp;FertInputs&amp;CInsurance'!I32</f>
        <v>0</v>
      </c>
      <c r="F61" s="101" t="str">
        <f t="shared" si="0"/>
        <v>0</v>
      </c>
      <c r="G61" s="191">
        <f>E61/128</f>
        <v>0</v>
      </c>
    </row>
    <row r="62" spans="1:7" ht="20">
      <c r="A62" s="3"/>
      <c r="B62" s="122" t="s">
        <v>86</v>
      </c>
      <c r="C62" s="16"/>
      <c r="D62" s="100"/>
      <c r="E62" s="116"/>
      <c r="F62" s="101"/>
      <c r="G62" s="146">
        <f>SUM(G14:G61)</f>
        <v>0</v>
      </c>
    </row>
    <row r="63" spans="1:7" ht="20">
      <c r="A63" s="3"/>
      <c r="B63" s="108" t="str">
        <f>CustomRates!B5</f>
        <v>Aerial (Custom)</v>
      </c>
      <c r="C63" s="32" t="str">
        <f>CustomRates!C5</f>
        <v>acre</v>
      </c>
      <c r="D63" s="100">
        <f>CustomRates!G5</f>
        <v>8.9499999999999993</v>
      </c>
      <c r="E63" s="74">
        <f>CustomRates!G6</f>
        <v>1</v>
      </c>
      <c r="F63" s="101">
        <f t="shared" ref="F63:F70" si="11">IF(D63*E63=0,"0",D63*E63)</f>
        <v>8.9499999999999993</v>
      </c>
    </row>
    <row r="64" spans="1:7" ht="20">
      <c r="A64" s="3"/>
      <c r="B64" s="108" t="str">
        <f>CustomRates!B7</f>
        <v>Sprayer (Rental 90')</v>
      </c>
      <c r="C64" s="32" t="str">
        <f>CustomRates!C7</f>
        <v>acre</v>
      </c>
      <c r="D64" s="100">
        <f>CustomRates!G7</f>
        <v>8</v>
      </c>
      <c r="E64" s="74">
        <f>CustomRates!G8</f>
        <v>0</v>
      </c>
      <c r="F64" s="101" t="str">
        <f t="shared" si="11"/>
        <v>0</v>
      </c>
    </row>
    <row r="65" spans="1:9" ht="20">
      <c r="A65" s="3"/>
      <c r="B65" s="108" t="str">
        <f>CustomRates!B9</f>
        <v>Fertilizer - Anhydrous Applicator (Rent)</v>
      </c>
      <c r="C65" s="32" t="str">
        <f>CustomRates!C9</f>
        <v>acre</v>
      </c>
      <c r="D65" s="100">
        <f>CustomRates!G9</f>
        <v>7</v>
      </c>
      <c r="E65" s="74">
        <f>CustomRates!G10</f>
        <v>0</v>
      </c>
      <c r="F65" s="101" t="str">
        <f t="shared" si="11"/>
        <v>0</v>
      </c>
    </row>
    <row r="66" spans="1:9" ht="20">
      <c r="A66" s="3"/>
      <c r="B66" s="108" t="str">
        <f>CustomRates!B11</f>
        <v>Fertilizer Applicator</v>
      </c>
      <c r="C66" s="32" t="str">
        <f>CustomRates!C11</f>
        <v>acre</v>
      </c>
      <c r="D66" s="100">
        <f>CustomRates!G11</f>
        <v>2</v>
      </c>
      <c r="E66" s="74">
        <f>CustomRates!G12</f>
        <v>0</v>
      </c>
      <c r="F66" s="101" t="str">
        <f t="shared" si="11"/>
        <v>0</v>
      </c>
    </row>
    <row r="67" spans="1:9" ht="20">
      <c r="A67" s="3"/>
      <c r="B67" s="108" t="str">
        <f>CustomRates!B13</f>
        <v>26' Rental Shredder</v>
      </c>
      <c r="C67" s="32" t="str">
        <f>CustomRates!C13</f>
        <v>acre</v>
      </c>
      <c r="D67" s="100">
        <f>CustomRates!G13</f>
        <v>10</v>
      </c>
      <c r="E67" s="74">
        <f>CustomRates!G14</f>
        <v>0</v>
      </c>
      <c r="F67" s="101" t="str">
        <f t="shared" si="11"/>
        <v>0</v>
      </c>
    </row>
    <row r="68" spans="1:9" ht="20">
      <c r="A68" s="3"/>
      <c r="B68" s="108" t="str">
        <f>CustomRates!B15</f>
        <v>36' Ripper Shooter</v>
      </c>
      <c r="C68" s="32" t="str">
        <f>CustomRates!C15</f>
        <v>acre</v>
      </c>
      <c r="D68" s="100">
        <f>CustomRates!G15</f>
        <v>2.5</v>
      </c>
      <c r="E68" s="74">
        <f>CustomRates!G16</f>
        <v>0</v>
      </c>
      <c r="F68" s="101" t="str">
        <f t="shared" si="11"/>
        <v>0</v>
      </c>
    </row>
    <row r="69" spans="1:9" ht="20">
      <c r="A69" s="3"/>
      <c r="B69" s="108" t="str">
        <f>CustomRates!B17</f>
        <v>Custom self-propelled sprayer</v>
      </c>
      <c r="C69" s="32" t="str">
        <f>CustomRates!C17</f>
        <v>acre</v>
      </c>
      <c r="D69" s="100">
        <f>CustomRates!G17</f>
        <v>8</v>
      </c>
      <c r="E69" s="74">
        <f>CustomRates!G18</f>
        <v>0</v>
      </c>
      <c r="F69" s="101" t="str">
        <f t="shared" si="11"/>
        <v>0</v>
      </c>
    </row>
    <row r="70" spans="1:9" ht="20">
      <c r="A70" s="3"/>
      <c r="B70" s="108" t="str">
        <f>CustomRates!B19</f>
        <v>Additional Operation #8 (Custom)</v>
      </c>
      <c r="C70" s="32" t="str">
        <f>CustomRates!C19</f>
        <v>acre</v>
      </c>
      <c r="D70" s="100">
        <f>CustomRates!G19</f>
        <v>0</v>
      </c>
      <c r="E70" s="74">
        <f>CustomRates!G20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FieldApplications!$F$6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FieldApplications!$F$6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FieldApplications!$F$6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FieldApplications!$F$7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FieldApplications!$F$7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FieldApplications!$F$7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FieldApplications!$F$8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FieldApplications!$F$8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FieldApplications!$F$8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FieldApplications!$F$9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FieldApplications!$F$9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FieldApplications!$F$9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FieldApplications!$F$10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FieldApplications!$F$10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FieldApplications!$F$10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FieldApplications!$F$11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FieldApplications!$F$11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FieldApplications!$F$11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FieldApplications!$F$12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FieldApplications!$F$12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FieldApplications!$F$12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FieldApplications!$F$13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FieldApplications!$F$13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FieldApplications!$F$13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FieldApplications!$F$14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FieldApplications!$F$14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FieldApplications!$F$14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FieldApplications!$F$15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FieldApplications!$F$15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FieldApplications!$F$15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FieldApplications!$F$16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FieldApplications!$F$16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FieldApplications!$F$16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'Chem&amp;FertInputs&amp;CInsurance'!I73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5.5406898410095433</v>
      </c>
      <c r="G116" t="s">
        <v>111</v>
      </c>
      <c r="H116" s="40">
        <f>(SUM($F8:$F70)+$F115+SUM(H72:H113))*$D116</f>
        <v>5.5414159452604874</v>
      </c>
      <c r="I116" s="40">
        <f>(SUM($F8:$F70)+$F115+SUM(I72:I113))*$D116</f>
        <v>5.4005331053816015</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5.8904458872232706</v>
      </c>
      <c r="G117" t="s">
        <v>4</v>
      </c>
      <c r="H117" s="40">
        <f>(SUM(F8:F70)+(F115+F116+H114))*((D117/12)*MachineAssumptions!D27)</f>
        <v>5.8911810677773513</v>
      </c>
      <c r="I117" s="40">
        <f>(SUM(F8:F70)+(F115+F116+I114))*((D117/12)*MachineAssumptions!D27)</f>
        <v>5.7485371923999793</v>
      </c>
      <c r="J117" s="40">
        <f>F73+F76+F79+F82+F85+F88+F91+F94+F97+F100+F103+F106+F109+F112</f>
        <v>37.921401983080372</v>
      </c>
      <c r="K117" t="s">
        <v>4</v>
      </c>
    </row>
    <row r="118" spans="1:13" ht="20">
      <c r="A118" s="3"/>
      <c r="B118" s="9" t="s">
        <v>85</v>
      </c>
      <c r="C118" s="22"/>
      <c r="D118" s="124"/>
      <c r="E118" s="125"/>
      <c r="F118" s="126">
        <f>SUM(F8:F117)</f>
        <v>122.24493254842366</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146.28604202489427</v>
      </c>
      <c r="H137" s="38">
        <f>SUM(F16:F70)+H114+F115+H116+H117+H135+F8+(H9*D9)+(H10*D10)+(H11*D11)+(H12*D12)+(H13*D13)+(H14*D14)+(H15*D15)</f>
        <v>146.3016615421617</v>
      </c>
      <c r="I137" s="38">
        <f>SUM(F16:F70)+I114+F115+I116+I117+I135+F8+(I9*D9)+(I10*D10)+(I11*D11)+(I12*D12)+(I13*D13)+(I14*D14)+(I15*D15)</f>
        <v>143.2008418818842</v>
      </c>
    </row>
    <row r="138" spans="1:9" ht="21">
      <c r="A138" s="3"/>
      <c r="B138" s="24" t="s">
        <v>32</v>
      </c>
      <c r="C138" s="25"/>
      <c r="D138" s="26"/>
      <c r="E138" s="25"/>
      <c r="F138" s="39">
        <f>F5-F137</f>
        <v>721.7139579751057</v>
      </c>
      <c r="H138" s="215">
        <f>H5-H137</f>
        <v>749.6983384578383</v>
      </c>
      <c r="I138" s="215">
        <f>I5-I137</f>
        <v>780.79915811811577</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4608-9B7E-6445-82C9-866BB012D061}">
  <sheetPr codeName="Sheet18">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c r="C1" s="5"/>
      <c r="D1" s="10"/>
      <c r="E1" s="5"/>
      <c r="F1" s="5"/>
    </row>
    <row r="2" spans="1:18" ht="20">
      <c r="A2" s="3"/>
      <c r="B2" s="709" t="str">
        <f>'Prices_Yields&amp;SeedInputs'!B9&amp;", Cash Costs and Returns of Producing, $/acre."</f>
        <v>DN Spring Wheat after Winter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'Prices_Yields&amp;SeedInputs'!B9</f>
        <v>DN Spring Wheat after Winter Crop</v>
      </c>
      <c r="C4" s="16" t="str">
        <f>'Prices_Yields&amp;SeedInputs'!C9</f>
        <v>bu</v>
      </c>
      <c r="D4" s="113">
        <f>'Prices_Yields&amp;SeedInputs'!D9</f>
        <v>14</v>
      </c>
      <c r="E4" s="111">
        <f>'Prices_Yields&amp;SeedInputs'!E9</f>
        <v>60</v>
      </c>
      <c r="F4" s="28">
        <f>D4*E4</f>
        <v>840</v>
      </c>
      <c r="Q4" s="579"/>
      <c r="R4" s="579"/>
    </row>
    <row r="5" spans="1:18" ht="20">
      <c r="A5" s="3"/>
      <c r="B5" s="9" t="s">
        <v>14</v>
      </c>
      <c r="C5" s="22"/>
      <c r="D5" s="23"/>
      <c r="E5" s="22"/>
      <c r="F5" s="37">
        <f>SUM(F4:F4)</f>
        <v>840</v>
      </c>
      <c r="H5">
        <f>D4*'Prices_Yields&amp;SeedInputs'!F9</f>
        <v>868</v>
      </c>
      <c r="I5">
        <f>D4*'Prices_Yields&amp;SeedInputs'!G9</f>
        <v>896</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'Prices_Yields&amp;SeedInputs'!H9</f>
        <v>pound</v>
      </c>
      <c r="D8" s="76">
        <f>'Prices_Yields&amp;SeedInputs'!I9</f>
        <v>0.3</v>
      </c>
      <c r="E8" s="77">
        <f>'Prices_Yields&amp;SeedInputs'!J9</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'Chem&amp;FertInputs&amp;CInsurance'!J6</f>
        <v>130</v>
      </c>
      <c r="F9" s="101">
        <f t="shared" si="0"/>
        <v>63.375</v>
      </c>
      <c r="H9">
        <f>'Chem&amp;FertInputs&amp;CInsurance'!J7</f>
        <v>130</v>
      </c>
      <c r="I9">
        <f>'Chem&amp;FertInputs&amp;CInsurance'!J8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'Chem&amp;FertInputs&amp;CInsurance'!J9</f>
        <v>0</v>
      </c>
      <c r="F10" s="101" t="str">
        <f t="shared" si="0"/>
        <v>0</v>
      </c>
      <c r="H10">
        <f>'Chem&amp;FertInputs&amp;CInsurance'!J10</f>
        <v>0</v>
      </c>
      <c r="I10">
        <f>'Chem&amp;FertInputs&amp;CInsurance'!J11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'Chem&amp;FertInputs&amp;CInsurance'!J12</f>
        <v>5</v>
      </c>
      <c r="F11" s="101">
        <f t="shared" si="0"/>
        <v>2.375</v>
      </c>
      <c r="H11">
        <f>'Chem&amp;FertInputs&amp;CInsurance'!J13</f>
        <v>5</v>
      </c>
      <c r="I11">
        <f>'Chem&amp;FertInputs&amp;CInsurance'!J14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'Chem&amp;FertInputs&amp;CInsurance'!J15</f>
        <v>0</v>
      </c>
      <c r="F12" s="101" t="str">
        <f t="shared" si="0"/>
        <v>0</v>
      </c>
      <c r="H12">
        <f>'Chem&amp;FertInputs&amp;CInsurance'!J16</f>
        <v>0</v>
      </c>
      <c r="I12">
        <f>'Chem&amp;FertInputs&amp;CInsurance'!J17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'Chem&amp;FertInputs&amp;CInsurance'!J18</f>
        <v>25</v>
      </c>
      <c r="F13" s="101">
        <f t="shared" si="0"/>
        <v>6.3875000000000002</v>
      </c>
      <c r="H13">
        <f>'Chem&amp;FertInputs&amp;CInsurance'!J19</f>
        <v>25</v>
      </c>
      <c r="I13">
        <f>'Chem&amp;FertInputs&amp;CInsurance'!J20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'Chem&amp;FertInputs&amp;CInsurance'!J21</f>
        <v>1.7</v>
      </c>
      <c r="F14" s="101">
        <f t="shared" ref="F14:F20" si="1">IF(D14*E14=0,"0",D14*E14)</f>
        <v>0.81599999999999995</v>
      </c>
      <c r="G14" s="146">
        <f>E14/128</f>
        <v>1.328125E-2</v>
      </c>
      <c r="H14">
        <f>'Chem&amp;FertInputs&amp;CInsurance'!J22</f>
        <v>1.7</v>
      </c>
      <c r="I14">
        <f>'Chem&amp;FertInputs&amp;CInsurance'!J23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'Chem&amp;FertInputs&amp;CInsurance'!J24</f>
        <v>0</v>
      </c>
      <c r="F15" s="101" t="str">
        <f t="shared" si="1"/>
        <v>0</v>
      </c>
      <c r="G15" s="146">
        <f>E15/16</f>
        <v>0</v>
      </c>
      <c r="H15">
        <f>'Chem&amp;FertInputs&amp;CInsurance'!J25</f>
        <v>0</v>
      </c>
      <c r="I15">
        <f>'Chem&amp;FertInputs&amp;CInsurance'!J26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'Chem&amp;FertInputs&amp;CInsurance'!J27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'Chem&amp;FertInputs&amp;CInsurance'!J28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'Chem&amp;FertInputs&amp;CInsurance'!J29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'Chem&amp;FertInputs&amp;CInsurance'!J30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'Chem&amp;FertInputs&amp;CInsurance'!J31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'Chem&amp;FertInputs&amp;CInsurance'!J33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'Chem&amp;FertInputs&amp;CInsurance'!J34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'Chem&amp;FertInputs&amp;CInsurance'!J35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'Chem&amp;FertInputs&amp;CInsurance'!J36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'Chem&amp;FertInputs&amp;CInsurance'!J37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'Chem&amp;FertInputs&amp;CInsurance'!J38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'Chem&amp;FertInputs&amp;CInsurance'!J39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'Chem&amp;FertInputs&amp;CInsurance'!J40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'Chem&amp;FertInputs&amp;CInsurance'!J41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'Chem&amp;FertInputs&amp;CInsurance'!J42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'Chem&amp;FertInputs&amp;CInsurance'!J43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'Chem&amp;FertInputs&amp;CInsurance'!J44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'Chem&amp;FertInputs&amp;CInsurance'!J45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'Chem&amp;FertInputs&amp;CInsurance'!J46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'Chem&amp;FertInputs&amp;CInsurance'!J47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'Chem&amp;FertInputs&amp;CInsurance'!J48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'Chem&amp;FertInputs&amp;CInsurance'!J49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'Chem&amp;FertInputs&amp;CInsurance'!J50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'Chem&amp;FertInputs&amp;CInsurance'!J51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'Chem&amp;FertInputs&amp;CInsurance'!J52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'Chem&amp;FertInputs&amp;CInsurance'!J53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'Chem&amp;FertInputs&amp;CInsurance'!J54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'Chem&amp;FertInputs&amp;CInsurance'!J55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'Chem&amp;FertInputs&amp;CInsurance'!J56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'Chem&amp;FertInputs&amp;CInsurance'!J57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'Chem&amp;FertInputs&amp;CInsurance'!J58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'Chem&amp;FertInputs&amp;CInsurance'!J59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'Chem&amp;FertInputs&amp;CInsurance'!J60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'Chem&amp;FertInputs&amp;CInsurance'!J61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'Chem&amp;FertInputs&amp;CInsurance'!J62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'Chem&amp;FertInputs&amp;CInsurance'!J63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'Chem&amp;FertInputs&amp;CInsurance'!J64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'Chem&amp;FertInputs&amp;CInsurance'!J65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'Chem&amp;FertInputs&amp;CInsurance'!J66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'Chem&amp;FertInputs&amp;CInsurance'!J67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'Chem&amp;FertInputs&amp;CInsurance'!J68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'Chem&amp;FertInputs&amp;CInsurance'!J69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'Chem&amp;FertInputs&amp;CInsurance'!J70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'Chem&amp;FertInputs&amp;CInsurance'!J71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'Chem&amp;FertInputs&amp;CInsurance'!J72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'Chem&amp;FertInputs&amp;CInsurance'!J32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CustomRates!H5</f>
        <v>8.9499999999999993</v>
      </c>
      <c r="E63" s="74">
        <f>CustomRates!H6</f>
        <v>0</v>
      </c>
      <c r="F63" s="101" t="str">
        <f t="shared" ref="F63:F70" si="11">IF(D63*E63=0,"0",D63*E63)</f>
        <v>0</v>
      </c>
    </row>
    <row r="64" spans="1:7" ht="20">
      <c r="A64" s="3"/>
      <c r="B64" s="108" t="str">
        <f>CustomRates!B7</f>
        <v>Sprayer (Rental 90')</v>
      </c>
      <c r="C64" s="32" t="str">
        <f>CustomRates!C7</f>
        <v>acre</v>
      </c>
      <c r="D64" s="100">
        <f>CustomRates!H7</f>
        <v>8</v>
      </c>
      <c r="E64" s="74">
        <f>CustomRates!H8</f>
        <v>1</v>
      </c>
      <c r="F64" s="101">
        <f t="shared" si="11"/>
        <v>8</v>
      </c>
    </row>
    <row r="65" spans="1:9" ht="20">
      <c r="A65" s="3"/>
      <c r="B65" s="108" t="str">
        <f>CustomRates!B9</f>
        <v>Fertilizer - Anhydrous Applicator (Rent)</v>
      </c>
      <c r="C65" s="32" t="str">
        <f>CustomRates!C9</f>
        <v>acre</v>
      </c>
      <c r="D65" s="100">
        <f>CustomRates!H9</f>
        <v>7</v>
      </c>
      <c r="E65" s="74">
        <f>CustomRates!H10</f>
        <v>0</v>
      </c>
      <c r="F65" s="101" t="str">
        <f t="shared" si="11"/>
        <v>0</v>
      </c>
    </row>
    <row r="66" spans="1:9" ht="20">
      <c r="A66" s="3"/>
      <c r="B66" s="108" t="str">
        <f>CustomRates!B11</f>
        <v>Fertilizer Applicator</v>
      </c>
      <c r="C66" s="32" t="str">
        <f>CustomRates!C11</f>
        <v>acre</v>
      </c>
      <c r="D66" s="100">
        <f>CustomRates!H11</f>
        <v>2</v>
      </c>
      <c r="E66" s="74">
        <f>CustomRates!H12</f>
        <v>0</v>
      </c>
      <c r="F66" s="101" t="str">
        <f t="shared" si="11"/>
        <v>0</v>
      </c>
    </row>
    <row r="67" spans="1:9" ht="20">
      <c r="A67" s="3"/>
      <c r="B67" s="108" t="str">
        <f>CustomRates!B13</f>
        <v>26' Rental Shredder</v>
      </c>
      <c r="C67" s="32" t="str">
        <f>CustomRates!C13</f>
        <v>acre</v>
      </c>
      <c r="D67" s="100">
        <f>CustomRates!H13</f>
        <v>10</v>
      </c>
      <c r="E67" s="74">
        <f>CustomRates!H14</f>
        <v>0</v>
      </c>
      <c r="F67" s="101" t="str">
        <f t="shared" si="11"/>
        <v>0</v>
      </c>
    </row>
    <row r="68" spans="1:9" ht="20">
      <c r="A68" s="3"/>
      <c r="B68" s="108" t="str">
        <f>CustomRates!B15</f>
        <v>36' Ripper Shooter</v>
      </c>
      <c r="C68" s="32" t="str">
        <f>CustomRates!C15</f>
        <v>acre</v>
      </c>
      <c r="D68" s="100">
        <f>CustomRates!H15</f>
        <v>2.5</v>
      </c>
      <c r="E68" s="74">
        <f>CustomRates!H16</f>
        <v>0</v>
      </c>
      <c r="F68" s="101" t="str">
        <f t="shared" si="11"/>
        <v>0</v>
      </c>
    </row>
    <row r="69" spans="1:9" ht="20">
      <c r="A69" s="3"/>
      <c r="B69" s="108" t="str">
        <f>CustomRates!B17</f>
        <v>Custom self-propelled sprayer</v>
      </c>
      <c r="C69" s="32" t="str">
        <f>CustomRates!C17</f>
        <v>acre</v>
      </c>
      <c r="D69" s="100">
        <f>CustomRates!H17</f>
        <v>8</v>
      </c>
      <c r="E69" s="74">
        <f>CustomRates!H18</f>
        <v>0</v>
      </c>
      <c r="F69" s="101" t="str">
        <f t="shared" si="11"/>
        <v>0</v>
      </c>
    </row>
    <row r="70" spans="1:9" ht="20">
      <c r="A70" s="3"/>
      <c r="B70" s="108" t="str">
        <f>CustomRates!B19</f>
        <v>Additional Operation #8 (Custom)</v>
      </c>
      <c r="C70" s="32" t="str">
        <f>CustomRates!C19</f>
        <v>acre</v>
      </c>
      <c r="D70" s="100">
        <f>CustomRates!H19</f>
        <v>0</v>
      </c>
      <c r="E70" s="74">
        <f>CustomRates!H20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FieldApplications!$G$6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FieldApplications!$G$6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FieldApplications!$G$6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FieldApplications!$G$7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FieldApplications!$G$7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FieldApplications!$G$7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FieldApplications!$G$8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FieldApplications!$G$8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FieldApplications!$G$8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FieldApplications!$G$9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FieldApplications!$G$9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FieldApplications!$G$9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FieldApplications!$G$10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FieldApplications!$G$10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FieldApplications!$G$10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FieldApplications!$G$11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FieldApplications!$G$11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FieldApplications!$G$11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FieldApplications!$G$12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FieldApplications!$G$12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FieldApplications!$G$12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FieldApplications!$G$13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FieldApplications!$G$13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FieldApplications!$G$13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FieldApplications!$G$14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FieldApplications!$G$14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FieldApplications!$G$14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FieldApplications!$G$15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FieldApplications!$G$15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FieldApplications!$G$15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FieldApplications!$G$16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FieldApplications!$G$16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FieldApplications!$G$16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'Chem&amp;FertInputs&amp;CInsurance'!J73</f>
        <v>17</v>
      </c>
      <c r="E115" s="74">
        <v>1</v>
      </c>
      <c r="F115" s="101">
        <f>IF(D115*E115=0,"0",D115*E115)</f>
        <v>17</v>
      </c>
      <c r="H115" t="s">
        <v>181</v>
      </c>
      <c r="I115" t="s">
        <v>181</v>
      </c>
    </row>
    <row r="116" spans="1:13" ht="20">
      <c r="A116" s="3"/>
      <c r="B116" s="72" t="s">
        <v>72</v>
      </c>
      <c r="C116" s="32" t="s">
        <v>83</v>
      </c>
      <c r="D116" s="95">
        <f>MachineAssumptions!D25</f>
        <v>0.05</v>
      </c>
      <c r="E116" s="74"/>
      <c r="F116" s="73">
        <f>SUM(F8:F115)*D116</f>
        <v>12.237332341009543</v>
      </c>
      <c r="G116" t="s">
        <v>111</v>
      </c>
      <c r="H116" s="40">
        <f>(SUM($F8:$F70)+$F115+SUM(H72:H113))*$D116</f>
        <v>12.238058445260487</v>
      </c>
      <c r="I116" s="40">
        <f>(SUM($F8:$F70)+$F115+SUM(I72:I113))*$D116</f>
        <v>12.097175605381601</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13.009813945035772</v>
      </c>
      <c r="G117" t="s">
        <v>4</v>
      </c>
      <c r="H117" s="40">
        <f>(SUM(F8:F70)+(F115+F116+H114))*((D117/12)*MachineAssumptions!D27)</f>
        <v>13.010549125589849</v>
      </c>
      <c r="I117" s="40">
        <f>(SUM(F8:F70)+(F115+F116+I114))*((D117/12)*MachineAssumptions!D27)</f>
        <v>12.867905250212479</v>
      </c>
      <c r="J117" s="40">
        <f>F73+F76+F79+F82+F85+F88+F91+F94+F97+F100+F103+F106+F109+F112</f>
        <v>37.921401983080372</v>
      </c>
      <c r="K117" t="s">
        <v>4</v>
      </c>
    </row>
    <row r="118" spans="1:13" ht="20">
      <c r="A118" s="3"/>
      <c r="B118" s="9" t="s">
        <v>85</v>
      </c>
      <c r="C118" s="22"/>
      <c r="D118" s="124"/>
      <c r="E118" s="125"/>
      <c r="F118" s="126">
        <f>SUM(F8:F117)</f>
        <v>269.99379310623618</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294.03490258270676</v>
      </c>
      <c r="H137" s="38">
        <f>SUM(F16:F70)+H114+F115+H116+H117+H135+F8+(H9*D9)+(H10*D10)+(H11*D11)+(H12*D12)+(H13*D13)+(H14*D14)+(H15*D15)</f>
        <v>294.05052209997416</v>
      </c>
      <c r="I137" s="38">
        <f>SUM(F16:F70)+I114+F115+I116+I117+I135+F8+(I9*D9)+(I10*D10)+(I11*D11)+(I12*D12)+(I13*D13)+(I14*D14)+(I15*D15)</f>
        <v>290.94970243969669</v>
      </c>
    </row>
    <row r="138" spans="1:9" ht="21">
      <c r="A138" s="3"/>
      <c r="B138" s="24" t="s">
        <v>32</v>
      </c>
      <c r="C138" s="25"/>
      <c r="D138" s="26"/>
      <c r="E138" s="25"/>
      <c r="F138" s="39">
        <f>F5-F137</f>
        <v>545.96509741729324</v>
      </c>
      <c r="H138" s="215">
        <f>H5-H137</f>
        <v>573.94947790002584</v>
      </c>
      <c r="I138" s="215">
        <f>I5-I137</f>
        <v>605.05029756030331</v>
      </c>
    </row>
  </sheetData>
  <mergeCells count="1">
    <mergeCell ref="B2:F2"/>
  </mergeCells>
  <pageMargins left="0.7" right="0.7" top="0.75" bottom="0.75" header="0.3" footer="0.3"/>
  <pageSetup scale="61" orientation="portrait" horizontalDpi="0" verticalDpi="0"/>
  <ignoredErrors>
    <ignoredError sqref="B135:F138 B114:F114 B3:F3 B116:F116 B115:E115 B121:C124 B127:C134 E121:F123 B125:F126 C13:E13 B61:E71 C14:F14 B118:F120 B117:E117 C8:E8 B2 B72:B113 D90:E113 D84:F89 D72:E83 E124:G124 E127:G134 B4:F7 B54:E57 B42:E51 B33:E40 B21:E31 B60:E60 B16:G20 F60:G60 B32:G32 F21:G31 B41:G41 F33:G40 B52:G53 F42:G51 B58:G59 F54:G57 C9:E9 C10:E10 C11:E11 C12:E12 C15:G15 B9:B15" unlockedFormula="1"/>
    <ignoredError sqref="D127:D131 D132:D134 D121:D123 D124" formula="1"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D16E-B5AC-FA42-9498-79E50A851C49}">
  <sheetPr codeName="Sheet21">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'Prices_Yields&amp;SeedInputs'!B10&amp;", Cash Costs and Returns of Producing, $/acre."</f>
        <v>Chickpea after Forage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'Prices_Yields&amp;SeedInputs'!B10</f>
        <v>Chickpea after Forage Crop</v>
      </c>
      <c r="C4" s="15" t="str">
        <f>'Prices_Yields&amp;SeedInputs'!C10</f>
        <v>lb</v>
      </c>
      <c r="D4" s="10">
        <f>'Prices_Yields&amp;SeedInputs'!D10</f>
        <v>0.16</v>
      </c>
      <c r="E4" s="77">
        <f>'Prices_Yields&amp;SeedInputs'!E10</f>
        <v>1400</v>
      </c>
      <c r="F4" s="28">
        <f>D4*E4</f>
        <v>224</v>
      </c>
      <c r="Q4" s="579"/>
      <c r="R4" s="579"/>
    </row>
    <row r="5" spans="1:18" ht="20">
      <c r="A5" s="3"/>
      <c r="B5" s="9" t="s">
        <v>14</v>
      </c>
      <c r="C5" s="22"/>
      <c r="D5" s="23"/>
      <c r="E5" s="22"/>
      <c r="F5" s="37">
        <f>SUM(F4:F4)</f>
        <v>224</v>
      </c>
      <c r="H5">
        <f>D4*'Prices_Yields&amp;SeedInputs'!F10</f>
        <v>224</v>
      </c>
      <c r="I5">
        <f>D4*'Prices_Yields&amp;SeedInputs'!G10</f>
        <v>224</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'Prices_Yields&amp;SeedInputs'!H10</f>
        <v>pound</v>
      </c>
      <c r="D8" s="73">
        <f>'Prices_Yields&amp;SeedInputs'!I10</f>
        <v>0.53</v>
      </c>
      <c r="E8" s="104">
        <f>'Prices_Yields&amp;SeedInputs'!J10</f>
        <v>130</v>
      </c>
      <c r="F8" s="101">
        <f t="shared" ref="F8:F61" si="0">IF(D8*E8=0,"0",D8*E8)</f>
        <v>68.900000000000006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'Chem&amp;FertInputs&amp;CInsurance'!K6</f>
        <v>0</v>
      </c>
      <c r="F9" s="101" t="str">
        <f t="shared" si="0"/>
        <v>0</v>
      </c>
      <c r="H9">
        <f>'Chem&amp;FertInputs&amp;CInsurance'!K7</f>
        <v>0</v>
      </c>
      <c r="I9">
        <f>'Chem&amp;FertInputs&amp;CInsurance'!K8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'Chem&amp;FertInputs&amp;CInsurance'!K9</f>
        <v>0</v>
      </c>
      <c r="F10" s="101" t="str">
        <f t="shared" si="0"/>
        <v>0</v>
      </c>
      <c r="H10">
        <f>'Chem&amp;FertInputs&amp;CInsurance'!K10</f>
        <v>0</v>
      </c>
      <c r="I10">
        <f>'Chem&amp;FertInputs&amp;CInsurance'!K11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'Chem&amp;FertInputs&amp;CInsurance'!K12</f>
        <v>0</v>
      </c>
      <c r="F11" s="101" t="str">
        <f t="shared" si="0"/>
        <v>0</v>
      </c>
      <c r="H11">
        <f>'Chem&amp;FertInputs&amp;CInsurance'!K13</f>
        <v>0</v>
      </c>
      <c r="I11">
        <f>'Chem&amp;FertInputs&amp;CInsurance'!K14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'Chem&amp;FertInputs&amp;CInsurance'!K15</f>
        <v>0</v>
      </c>
      <c r="F12" s="101" t="str">
        <f t="shared" si="0"/>
        <v>0</v>
      </c>
      <c r="H12">
        <f>'Chem&amp;FertInputs&amp;CInsurance'!K16</f>
        <v>0</v>
      </c>
      <c r="I12">
        <f>'Chem&amp;FertInputs&amp;CInsurance'!K17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'Chem&amp;FertInputs&amp;CInsurance'!K18</f>
        <v>0</v>
      </c>
      <c r="F13" s="101" t="str">
        <f t="shared" si="0"/>
        <v>0</v>
      </c>
      <c r="H13">
        <f>'Chem&amp;FertInputs&amp;CInsurance'!K19</f>
        <v>0</v>
      </c>
      <c r="I13">
        <f>'Chem&amp;FertInputs&amp;CInsurance'!K20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'Chem&amp;FertInputs&amp;CInsurance'!K21</f>
        <v>1.7</v>
      </c>
      <c r="F14" s="101">
        <f t="shared" ref="F14:F20" si="1">IF(D14*E14=0,"0",D14*E14)</f>
        <v>0.81599999999999995</v>
      </c>
      <c r="G14" s="146">
        <f>E14/128</f>
        <v>1.328125E-2</v>
      </c>
      <c r="H14">
        <f>'Chem&amp;FertInputs&amp;CInsurance'!K22</f>
        <v>1.7</v>
      </c>
      <c r="I14">
        <f>'Chem&amp;FertInputs&amp;CInsurance'!K23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'Chem&amp;FertInputs&amp;CInsurance'!K24</f>
        <v>0</v>
      </c>
      <c r="F15" s="101" t="str">
        <f t="shared" si="1"/>
        <v>0</v>
      </c>
      <c r="G15" s="146">
        <f>E15/16</f>
        <v>0</v>
      </c>
      <c r="H15">
        <f>'Chem&amp;FertInputs&amp;CInsurance'!K25</f>
        <v>0</v>
      </c>
      <c r="I15">
        <f>'Chem&amp;FertInputs&amp;CInsurance'!K26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'Chem&amp;FertInputs&amp;CInsurance'!K27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'Chem&amp;FertInputs&amp;CInsurance'!K28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'Chem&amp;FertInputs&amp;CInsurance'!K29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'Chem&amp;FertInputs&amp;CInsurance'!K30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'Chem&amp;FertInputs&amp;CInsurance'!K31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'Chem&amp;FertInputs&amp;CInsurance'!K33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'Chem&amp;FertInputs&amp;CInsurance'!K34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'Chem&amp;FertInputs&amp;CInsurance'!K35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'Chem&amp;FertInputs&amp;CInsurance'!K36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'Chem&amp;FertInputs&amp;CInsurance'!K37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'Chem&amp;FertInputs&amp;CInsurance'!K38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'Chem&amp;FertInputs&amp;CInsurance'!K39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'Chem&amp;FertInputs&amp;CInsurance'!K40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'Chem&amp;FertInputs&amp;CInsurance'!K41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'Chem&amp;FertInputs&amp;CInsurance'!K42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'Chem&amp;FertInputs&amp;CInsurance'!K43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'Chem&amp;FertInputs&amp;CInsurance'!K44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'Chem&amp;FertInputs&amp;CInsurance'!K45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'Chem&amp;FertInputs&amp;CInsurance'!K46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'Chem&amp;FertInputs&amp;CInsurance'!K47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'Chem&amp;FertInputs&amp;CInsurance'!K48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'Chem&amp;FertInputs&amp;CInsurance'!K49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'Chem&amp;FertInputs&amp;CInsurance'!K50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'Chem&amp;FertInputs&amp;CInsurance'!K51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'Chem&amp;FertInputs&amp;CInsurance'!K52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'Chem&amp;FertInputs&amp;CInsurance'!K53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'Chem&amp;FertInputs&amp;CInsurance'!K54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'Chem&amp;FertInputs&amp;CInsurance'!K55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'Chem&amp;FertInputs&amp;CInsurance'!K56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'Chem&amp;FertInputs&amp;CInsurance'!K57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'Chem&amp;FertInputs&amp;CInsurance'!K58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'Chem&amp;FertInputs&amp;CInsurance'!K59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'Chem&amp;FertInputs&amp;CInsurance'!K60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'Chem&amp;FertInputs&amp;CInsurance'!K61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'Chem&amp;FertInputs&amp;CInsurance'!K62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'Chem&amp;FertInputs&amp;CInsurance'!K63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'Chem&amp;FertInputs&amp;CInsurance'!K64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'Chem&amp;FertInputs&amp;CInsurance'!K65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'Chem&amp;FertInputs&amp;CInsurance'!K66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'Chem&amp;FertInputs&amp;CInsurance'!K67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'Chem&amp;FertInputs&amp;CInsurance'!K68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'Chem&amp;FertInputs&amp;CInsurance'!K69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'Chem&amp;FertInputs&amp;CInsurance'!K70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'Chem&amp;FertInputs&amp;CInsurance'!K71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'Chem&amp;FertInputs&amp;CInsurance'!K72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'Chem&amp;FertInputs&amp;CInsurance'!K32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CustomRates!I5</f>
        <v>8.9499999999999993</v>
      </c>
      <c r="E63" s="74">
        <f>CustomRates!I6</f>
        <v>1</v>
      </c>
      <c r="F63" s="101">
        <f t="shared" ref="F63:F70" si="11">IF(D63*E63=0,"0",D63*E63)</f>
        <v>8.9499999999999993</v>
      </c>
    </row>
    <row r="64" spans="1:7" ht="20">
      <c r="A64" s="3"/>
      <c r="B64" s="108" t="str">
        <f>CustomRates!B7</f>
        <v>Sprayer (Rental 90')</v>
      </c>
      <c r="C64" s="32" t="str">
        <f>CustomRates!C7</f>
        <v>acre</v>
      </c>
      <c r="D64" s="100">
        <f>CustomRates!I7</f>
        <v>8</v>
      </c>
      <c r="E64" s="74">
        <f>CustomRates!I8</f>
        <v>0</v>
      </c>
      <c r="F64" s="101" t="str">
        <f t="shared" si="11"/>
        <v>0</v>
      </c>
    </row>
    <row r="65" spans="1:9" ht="20">
      <c r="A65" s="3"/>
      <c r="B65" s="108" t="str">
        <f>CustomRates!B9</f>
        <v>Fertilizer - Anhydrous Applicator (Rent)</v>
      </c>
      <c r="C65" s="32" t="str">
        <f>CustomRates!C9</f>
        <v>acre</v>
      </c>
      <c r="D65" s="100">
        <f>CustomRates!I9</f>
        <v>7</v>
      </c>
      <c r="E65" s="74">
        <f>CustomRates!I10</f>
        <v>0</v>
      </c>
      <c r="F65" s="101" t="str">
        <f t="shared" si="11"/>
        <v>0</v>
      </c>
    </row>
    <row r="66" spans="1:9" ht="20">
      <c r="A66" s="3"/>
      <c r="B66" s="108" t="str">
        <f>CustomRates!B11</f>
        <v>Fertilizer Applicator</v>
      </c>
      <c r="C66" s="32" t="str">
        <f>CustomRates!C11</f>
        <v>acre</v>
      </c>
      <c r="D66" s="100">
        <f>CustomRates!I11</f>
        <v>2</v>
      </c>
      <c r="E66" s="74">
        <f>CustomRates!I12</f>
        <v>0</v>
      </c>
      <c r="F66" s="101" t="str">
        <f t="shared" si="11"/>
        <v>0</v>
      </c>
    </row>
    <row r="67" spans="1:9" ht="20">
      <c r="A67" s="3"/>
      <c r="B67" s="108" t="str">
        <f>CustomRates!B13</f>
        <v>26' Rental Shredder</v>
      </c>
      <c r="C67" s="32" t="str">
        <f>CustomRates!C13</f>
        <v>acre</v>
      </c>
      <c r="D67" s="100">
        <f>CustomRates!I13</f>
        <v>10</v>
      </c>
      <c r="E67" s="74">
        <f>CustomRates!I14</f>
        <v>0</v>
      </c>
      <c r="F67" s="101" t="str">
        <f t="shared" si="11"/>
        <v>0</v>
      </c>
    </row>
    <row r="68" spans="1:9" ht="20">
      <c r="A68" s="3"/>
      <c r="B68" s="108" t="str">
        <f>CustomRates!B15</f>
        <v>36' Ripper Shooter</v>
      </c>
      <c r="C68" s="32" t="str">
        <f>CustomRates!C15</f>
        <v>acre</v>
      </c>
      <c r="D68" s="100">
        <f>CustomRates!I15</f>
        <v>2.5</v>
      </c>
      <c r="E68" s="74">
        <f>CustomRates!I16</f>
        <v>0</v>
      </c>
      <c r="F68" s="101" t="str">
        <f t="shared" si="11"/>
        <v>0</v>
      </c>
    </row>
    <row r="69" spans="1:9" ht="20">
      <c r="A69" s="3"/>
      <c r="B69" s="108" t="str">
        <f>CustomRates!B17</f>
        <v>Custom self-propelled sprayer</v>
      </c>
      <c r="C69" s="32" t="str">
        <f>CustomRates!C17</f>
        <v>acre</v>
      </c>
      <c r="D69" s="100">
        <f>CustomRates!I17</f>
        <v>8</v>
      </c>
      <c r="E69" s="74">
        <f>CustomRates!I18</f>
        <v>0</v>
      </c>
      <c r="F69" s="101" t="str">
        <f t="shared" si="11"/>
        <v>0</v>
      </c>
    </row>
    <row r="70" spans="1:9" ht="20">
      <c r="A70" s="3"/>
      <c r="B70" s="108" t="str">
        <f>CustomRates!B19</f>
        <v>Additional Operation #8 (Custom)</v>
      </c>
      <c r="C70" s="32" t="str">
        <f>CustomRates!C19</f>
        <v>acre</v>
      </c>
      <c r="D70" s="100">
        <f>CustomRates!I19</f>
        <v>0</v>
      </c>
      <c r="E70" s="74">
        <f>CustomRates!I20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FieldApplications!$H$6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FieldApplications!$H$6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FieldApplications!$H$6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FieldApplications!$H$7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FieldApplications!$H$7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FieldApplications!$H$7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FieldApplications!$H$8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FieldApplications!$H$8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FieldApplications!$H$8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FieldApplications!$H$9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FieldApplications!$H$9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FieldApplications!$H$9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FieldApplications!$H$10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FieldApplications!$H$10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FieldApplications!$H$10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FieldApplications!$H$11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FieldApplications!$H$11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FieldApplications!$H$11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FieldApplications!$H$12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FieldApplications!$H$12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FieldApplications!$H$12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FieldApplications!$H$13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FieldApplications!$H$13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FieldApplications!$H$13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FieldApplications!$H$14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FieldApplications!$H$14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FieldApplications!$H$14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FieldApplications!$H$15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FieldApplications!$H$15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FieldApplications!$H$15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FieldApplications!$H$16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FieldApplications!$H$16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FieldApplications!$H$16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'Chem&amp;FertInputs&amp;CInsurance'!K73</f>
        <v>18</v>
      </c>
      <c r="E115" s="74">
        <v>1</v>
      </c>
      <c r="F115" s="101">
        <f>IF(D115*E115=0,"0",D115*E115)</f>
        <v>18</v>
      </c>
      <c r="H115" t="s">
        <v>181</v>
      </c>
      <c r="I115" t="s">
        <v>181</v>
      </c>
    </row>
    <row r="116" spans="1:13" ht="20">
      <c r="A116" s="3"/>
      <c r="B116" s="72" t="s">
        <v>72</v>
      </c>
      <c r="C116" s="32" t="s">
        <v>83</v>
      </c>
      <c r="D116" s="95">
        <f>MachineAssumptions!D25</f>
        <v>0.05</v>
      </c>
      <c r="E116" s="74"/>
      <c r="F116" s="73">
        <f>SUM(F8:F115)*D116</f>
        <v>9.8483622921110339</v>
      </c>
      <c r="G116" t="s">
        <v>111</v>
      </c>
      <c r="H116" s="40">
        <f>(SUM($F8:$F70)+$F115+SUM(H72:H113))*$D116</f>
        <v>9.8488463616116633</v>
      </c>
      <c r="I116" s="40">
        <f>(SUM($F8:$F70)+$F115+SUM(I72:I113))*$D116</f>
        <v>9.7105493895846209</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10.470040161800544</v>
      </c>
      <c r="G117" t="s">
        <v>4</v>
      </c>
      <c r="H117" s="40">
        <f>(SUM(F8:F70)+(F115+F116+H114))*((D117/12)*MachineAssumptions!D27)</f>
        <v>10.47053028216993</v>
      </c>
      <c r="I117" s="40">
        <f>(SUM(F8:F70)+(F115+F116+I114))*((D117/12)*MachineAssumptions!D27)</f>
        <v>10.330504597992551</v>
      </c>
      <c r="J117" s="40">
        <f>F73+F76+F79+F82+F85+F88+F91+F94+F97+F100+F103+F106+F109+F112</f>
        <v>36.116622527605394</v>
      </c>
      <c r="K117" t="s">
        <v>4</v>
      </c>
    </row>
    <row r="118" spans="1:13" ht="20">
      <c r="A118" s="3"/>
      <c r="B118" s="9" t="s">
        <v>85</v>
      </c>
      <c r="C118" s="22"/>
      <c r="D118" s="124"/>
      <c r="E118" s="125"/>
      <c r="F118" s="126">
        <f>SUM(F8:F117)</f>
        <v>217.28564829613225</v>
      </c>
      <c r="G118" t="s">
        <v>112</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c r="L119">
        <f>(L118-J118)/J118</f>
        <v>5.5914910997689716E-4</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23.231976314218116</v>
      </c>
      <c r="H135" s="37">
        <f t="shared" ref="H135:I135" si="18">SUM(H121:H134)</f>
        <v>23.23173374584713</v>
      </c>
      <c r="I135" s="37">
        <f t="shared" si="18"/>
        <v>23.231976314218116</v>
      </c>
      <c r="L135">
        <f>(H135-F135)/F135</f>
        <v>-1.0441142316310552E-5</v>
      </c>
      <c r="M135">
        <f>(I135-F135)/F135</f>
        <v>0</v>
      </c>
    </row>
    <row r="136" spans="1:13" ht="20">
      <c r="A136" s="3"/>
      <c r="B136" s="5"/>
      <c r="C136" s="5"/>
      <c r="D136" s="10"/>
      <c r="E136" s="5"/>
      <c r="F136" s="97"/>
    </row>
    <row r="137" spans="1:13" ht="20">
      <c r="A137" s="3"/>
      <c r="B137" s="9" t="s">
        <v>31</v>
      </c>
      <c r="C137" s="22"/>
      <c r="D137" s="23"/>
      <c r="E137" s="22"/>
      <c r="F137" s="38">
        <f>F118+F135</f>
        <v>240.51762461035037</v>
      </c>
      <c r="H137" s="38">
        <f>SUM(F16:F70)+H114+F115+H116+H117+H135+F8+(H9*D9)+(H10*D10)+(H11*D11)+(H12*D12)+(H13*D13)+(H14*D14)+(H15*D15)</f>
        <v>240.52803762186196</v>
      </c>
      <c r="I137" s="38">
        <f>SUM(F16:F70)+I114+F115+I116+I117+I135+F8+(I9*D9)+(I10*D10)+(I11*D11)+(I12*D12)+(I13*D13)+(I14*D14)+(I15*D15)</f>
        <v>237.48401809348772</v>
      </c>
    </row>
    <row r="138" spans="1:13" ht="21">
      <c r="A138" s="3"/>
      <c r="B138" s="24" t="s">
        <v>32</v>
      </c>
      <c r="C138" s="25"/>
      <c r="D138" s="26"/>
      <c r="E138" s="25"/>
      <c r="F138" s="39">
        <f>F5-F137</f>
        <v>-16.517624610350367</v>
      </c>
      <c r="H138" s="215">
        <f>H5-H137</f>
        <v>-16.528037621861955</v>
      </c>
      <c r="I138" s="215">
        <f>I5-I137</f>
        <v>-13.48401809348772</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G134 E121:F123 E124:G124 B121:C124 B84:B89 B125:F126 C13:D13 B62:E62 C14:D14 B118:F120 B117:E117 C9:D9 C10:D10 C11:D11 C12:D12 F14 B61:D61 E4:F4 B5:F7 B3:F3 B4:D4 C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7186-915E-334F-AE5A-0F64A1C0D1E8}">
  <sheetPr codeName="Sheet3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17" width="0" hidden="1" customWidth="1"/>
  </cols>
  <sheetData>
    <row r="1" spans="1:19" ht="20">
      <c r="A1" s="302" t="s">
        <v>8</v>
      </c>
      <c r="B1" s="20"/>
      <c r="C1" s="5"/>
      <c r="D1" s="10"/>
      <c r="E1" s="5"/>
      <c r="F1" s="5"/>
    </row>
    <row r="2" spans="1:19" ht="20">
      <c r="A2" s="3"/>
      <c r="B2" s="709" t="str">
        <f>'Prices_Yields&amp;SeedInputs'!B11&amp;", Cash Costs and Returns of Producing, $/acre."</f>
        <v>Chickpea after Cereal,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'Prices_Yields&amp;SeedInputs'!B11</f>
        <v>Chickpea after Cereal</v>
      </c>
      <c r="C4" s="15" t="str">
        <f>'Prices_Yields&amp;SeedInputs'!C11</f>
        <v>lb</v>
      </c>
      <c r="D4" s="10">
        <f>'Prices_Yields&amp;SeedInputs'!D11</f>
        <v>0.16</v>
      </c>
      <c r="E4" s="77">
        <f>'Prices_Yields&amp;SeedInputs'!E11</f>
        <v>1400</v>
      </c>
      <c r="F4" s="28">
        <f>D4*E4</f>
        <v>224</v>
      </c>
      <c r="R4" s="579"/>
      <c r="S4" s="579"/>
    </row>
    <row r="5" spans="1:19" ht="20">
      <c r="A5" s="3"/>
      <c r="B5" s="9" t="s">
        <v>14</v>
      </c>
      <c r="C5" s="22"/>
      <c r="D5" s="23"/>
      <c r="E5" s="22"/>
      <c r="F5" s="37">
        <f>SUM(F4:F4)</f>
        <v>224</v>
      </c>
      <c r="H5">
        <f>D4*'Prices_Yields&amp;SeedInputs'!F11</f>
        <v>224</v>
      </c>
      <c r="I5">
        <f>D4*'Prices_Yields&amp;SeedInputs'!G11</f>
        <v>224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109" t="s">
        <v>169</v>
      </c>
      <c r="C8" s="103" t="str">
        <f>'Prices_Yields&amp;SeedInputs'!H11</f>
        <v>pound</v>
      </c>
      <c r="D8" s="73">
        <f>'Prices_Yields&amp;SeedInputs'!I11</f>
        <v>0.53</v>
      </c>
      <c r="E8" s="104">
        <f>'Prices_Yields&amp;SeedInputs'!J11</f>
        <v>130</v>
      </c>
      <c r="F8" s="101">
        <f t="shared" ref="F8:F61" si="0">IF(D8*E8=0,"0",D8*E8)</f>
        <v>68.900000000000006</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'Chem&amp;FertInputs&amp;CInsurance'!L6</f>
        <v>0</v>
      </c>
      <c r="F9" s="101" t="str">
        <f t="shared" si="0"/>
        <v>0</v>
      </c>
      <c r="H9">
        <f>'Chem&amp;FertInputs&amp;CInsurance'!L7</f>
        <v>0</v>
      </c>
      <c r="I9">
        <f>'Chem&amp;FertInputs&amp;CInsurance'!L8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'Chem&amp;FertInputs&amp;CInsurance'!L9</f>
        <v>0</v>
      </c>
      <c r="F10" s="101" t="str">
        <f t="shared" si="0"/>
        <v>0</v>
      </c>
      <c r="H10">
        <f>'Chem&amp;FertInputs&amp;CInsurance'!L10</f>
        <v>0</v>
      </c>
      <c r="I10">
        <f>'Chem&amp;FertInputs&amp;CInsurance'!L11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'Chem&amp;FertInputs&amp;CInsurance'!L12</f>
        <v>0</v>
      </c>
      <c r="F11" s="101" t="str">
        <f t="shared" si="0"/>
        <v>0</v>
      </c>
      <c r="H11">
        <f>'Chem&amp;FertInputs&amp;CInsurance'!L13</f>
        <v>0</v>
      </c>
      <c r="I11">
        <f>'Chem&amp;FertInputs&amp;CInsurance'!L14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'Chem&amp;FertInputs&amp;CInsurance'!L15</f>
        <v>0</v>
      </c>
      <c r="F12" s="101" t="str">
        <f t="shared" si="0"/>
        <v>0</v>
      </c>
      <c r="H12">
        <f>'Chem&amp;FertInputs&amp;CInsurance'!L16</f>
        <v>0</v>
      </c>
      <c r="I12">
        <f>'Chem&amp;FertInputs&amp;CInsurance'!L17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'Chem&amp;FertInputs&amp;CInsurance'!L18</f>
        <v>0</v>
      </c>
      <c r="F13" s="101" t="str">
        <f t="shared" si="0"/>
        <v>0</v>
      </c>
      <c r="H13">
        <f>'Chem&amp;FertInputs&amp;CInsurance'!L19</f>
        <v>0</v>
      </c>
      <c r="I13">
        <f>'Chem&amp;FertInputs&amp;CInsurance'!L20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'Chem&amp;FertInputs&amp;CInsurance'!L21</f>
        <v>3.4</v>
      </c>
      <c r="F14" s="101">
        <f t="shared" ref="F14:F20" si="1">IF(D14*E14=0,"0",D14*E14)</f>
        <v>1.6319999999999999</v>
      </c>
      <c r="G14" s="146">
        <f>E14/128</f>
        <v>2.6562499999999999E-2</v>
      </c>
      <c r="H14">
        <f>'Chem&amp;FertInputs&amp;CInsurance'!L22</f>
        <v>3.4</v>
      </c>
      <c r="I14">
        <f>'Chem&amp;FertInputs&amp;CInsurance'!L23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'Chem&amp;FertInputs&amp;CInsurance'!L24</f>
        <v>0</v>
      </c>
      <c r="F15" s="101" t="str">
        <f t="shared" si="1"/>
        <v>0</v>
      </c>
      <c r="G15" s="146">
        <f>E15/16</f>
        <v>0</v>
      </c>
      <c r="H15">
        <f>'Chem&amp;FertInputs&amp;CInsurance'!L25</f>
        <v>0</v>
      </c>
      <c r="I15">
        <f>'Chem&amp;FertInputs&amp;CInsurance'!L26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'Chem&amp;FertInputs&amp;CInsurance'!L27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'Chem&amp;FertInputs&amp;CInsurance'!L28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'Chem&amp;FertInputs&amp;CInsurance'!L29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'Chem&amp;FertInputs&amp;CInsurance'!L30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'Chem&amp;FertInputs&amp;CInsurance'!L31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'Chem&amp;FertInputs&amp;CInsurance'!L33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'Chem&amp;FertInputs&amp;CInsurance'!L34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'Chem&amp;FertInputs&amp;CInsurance'!L35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'Chem&amp;FertInputs&amp;CInsurance'!L36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'Chem&amp;FertInputs&amp;CInsurance'!L37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'Chem&amp;FertInputs&amp;CInsurance'!L38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'Chem&amp;FertInputs&amp;CInsurance'!L39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'Chem&amp;FertInputs&amp;CInsurance'!L40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'Chem&amp;FertInputs&amp;CInsurance'!L41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'Chem&amp;FertInputs&amp;CInsurance'!L42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'Chem&amp;FertInputs&amp;CInsurance'!L43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'Chem&amp;FertInputs&amp;CInsurance'!L44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'Chem&amp;FertInputs&amp;CInsurance'!L45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'Chem&amp;FertInputs&amp;CInsurance'!L46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'Chem&amp;FertInputs&amp;CInsurance'!L47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'Chem&amp;FertInputs&amp;CInsurance'!L48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'Chem&amp;FertInputs&amp;CInsurance'!L49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'Chem&amp;FertInputs&amp;CInsurance'!L50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'Chem&amp;FertInputs&amp;CInsurance'!L51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'Chem&amp;FertInputs&amp;CInsurance'!L52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'Chem&amp;FertInputs&amp;CInsurance'!L53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'Chem&amp;FertInputs&amp;CInsurance'!L54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'Chem&amp;FertInputs&amp;CInsurance'!L55</f>
        <v>4</v>
      </c>
      <c r="F43" s="101">
        <f t="shared" si="0"/>
        <v>13.707999999999998</v>
      </c>
      <c r="G43" s="146">
        <f t="shared" si="5"/>
        <v>3.125E-2</v>
      </c>
    </row>
    <row r="44" spans="1:7" ht="20">
      <c r="A44" s="3"/>
      <c r="B44" s="72" t="str">
        <f>'Chem&amp;FertInputs&amp;CInsurance'!C56</f>
        <v>Prowl</v>
      </c>
      <c r="C44" s="16" t="str">
        <f>'Chem&amp;FertInputs&amp;CInsurance'!D56</f>
        <v>oz</v>
      </c>
      <c r="D44" s="100">
        <f>'Chem&amp;FertInputs&amp;CInsurance'!E56</f>
        <v>0.51749999999999996</v>
      </c>
      <c r="E44" s="116">
        <f>'Chem&amp;FertInputs&amp;CInsurance'!L56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'Chem&amp;FertInputs&amp;CInsurance'!L57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'Chem&amp;FertInputs&amp;CInsurance'!L58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'Chem&amp;FertInputs&amp;CInsurance'!L59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'Chem&amp;FertInputs&amp;CInsurance'!L60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'Chem&amp;FertInputs&amp;CInsurance'!L61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'Chem&amp;FertInputs&amp;CInsurance'!L62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'Chem&amp;FertInputs&amp;CInsurance'!L63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'Chem&amp;FertInputs&amp;CInsurance'!L64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'Chem&amp;FertInputs&amp;CInsurance'!L65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'Chem&amp;FertInputs&amp;CInsurance'!L66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'Chem&amp;FertInputs&amp;CInsurance'!L67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'Chem&amp;FertInputs&amp;CInsurance'!L68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'Chem&amp;FertInputs&amp;CInsurance'!L69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'Chem&amp;FertInputs&amp;CInsurance'!L70</f>
        <v>1</v>
      </c>
      <c r="F58" s="101">
        <f t="shared" ref="F58:F59" si="9">IF(D58*E58=0,"0",D58*E58)</f>
        <v>6.6124999999999998</v>
      </c>
      <c r="G58" s="146">
        <f t="shared" ref="G58:G59" si="10">E58/128</f>
        <v>7.8125E-3</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'Chem&amp;FertInputs&amp;CInsurance'!L71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'Chem&amp;FertInputs&amp;CInsurance'!L72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'Chem&amp;FertInputs&amp;CInsurance'!L32</f>
        <v>36</v>
      </c>
      <c r="F61" s="101">
        <f t="shared" si="0"/>
        <v>5.3819999999999997</v>
      </c>
      <c r="G61" s="191">
        <f>E61/128</f>
        <v>0.28125</v>
      </c>
    </row>
    <row r="62" spans="1:7" ht="20">
      <c r="A62" s="3"/>
      <c r="B62" s="122" t="s">
        <v>86</v>
      </c>
      <c r="C62" s="16"/>
      <c r="D62" s="100"/>
      <c r="E62" s="116"/>
      <c r="F62" s="101"/>
      <c r="G62" s="146">
        <f>SUM(G14:G61)</f>
        <v>0.41718749999999999</v>
      </c>
    </row>
    <row r="63" spans="1:7" ht="20">
      <c r="A63" s="3"/>
      <c r="B63" s="108" t="str">
        <f>CustomRates!B5</f>
        <v>Aerial (Custom)</v>
      </c>
      <c r="C63" s="32" t="str">
        <f>CustomRates!C5</f>
        <v>acre</v>
      </c>
      <c r="D63" s="100">
        <f>CustomRates!J5</f>
        <v>8.9499999999999993</v>
      </c>
      <c r="E63" s="74">
        <f>CustomRates!J6</f>
        <v>0</v>
      </c>
      <c r="F63" s="101" t="str">
        <f t="shared" ref="F63:F70" si="11">IF(D63*E63=0,"0",D63*E63)</f>
        <v>0</v>
      </c>
    </row>
    <row r="64" spans="1:7" ht="20">
      <c r="A64" s="3"/>
      <c r="B64" s="108" t="str">
        <f>CustomRates!B7</f>
        <v>Sprayer (Rental 90')</v>
      </c>
      <c r="C64" s="32" t="str">
        <f>CustomRates!C7</f>
        <v>acre</v>
      </c>
      <c r="D64" s="100">
        <f>CustomRates!J7</f>
        <v>8</v>
      </c>
      <c r="E64" s="74">
        <f>CustomRates!J8</f>
        <v>1</v>
      </c>
      <c r="F64" s="101">
        <f t="shared" si="11"/>
        <v>8</v>
      </c>
    </row>
    <row r="65" spans="1:9" ht="20">
      <c r="A65" s="3"/>
      <c r="B65" s="108" t="str">
        <f>CustomRates!B9</f>
        <v>Fertilizer - Anhydrous Applicator (Rent)</v>
      </c>
      <c r="C65" s="32" t="str">
        <f>CustomRates!C9</f>
        <v>acre</v>
      </c>
      <c r="D65" s="100">
        <f>CustomRates!J9</f>
        <v>7</v>
      </c>
      <c r="E65" s="74">
        <f>CustomRates!J10</f>
        <v>0</v>
      </c>
      <c r="F65" s="101" t="str">
        <f t="shared" si="11"/>
        <v>0</v>
      </c>
    </row>
    <row r="66" spans="1:9" ht="20">
      <c r="A66" s="3"/>
      <c r="B66" s="108" t="str">
        <f>CustomRates!B11</f>
        <v>Fertilizer Applicator</v>
      </c>
      <c r="C66" s="32" t="str">
        <f>CustomRates!C11</f>
        <v>acre</v>
      </c>
      <c r="D66" s="100">
        <f>CustomRates!J11</f>
        <v>2</v>
      </c>
      <c r="E66" s="74">
        <f>CustomRates!J12</f>
        <v>0</v>
      </c>
      <c r="F66" s="101" t="str">
        <f t="shared" si="11"/>
        <v>0</v>
      </c>
    </row>
    <row r="67" spans="1:9" ht="20">
      <c r="A67" s="3"/>
      <c r="B67" s="108" t="str">
        <f>CustomRates!B13</f>
        <v>26' Rental Shredder</v>
      </c>
      <c r="C67" s="32" t="str">
        <f>CustomRates!C13</f>
        <v>acre</v>
      </c>
      <c r="D67" s="100">
        <f>CustomRates!J13</f>
        <v>10</v>
      </c>
      <c r="E67" s="74">
        <f>CustomRates!J14</f>
        <v>0</v>
      </c>
      <c r="F67" s="101" t="str">
        <f t="shared" si="11"/>
        <v>0</v>
      </c>
    </row>
    <row r="68" spans="1:9" ht="20">
      <c r="A68" s="3"/>
      <c r="B68" s="108" t="str">
        <f>CustomRates!B15</f>
        <v>36' Ripper Shooter</v>
      </c>
      <c r="C68" s="32" t="str">
        <f>CustomRates!C15</f>
        <v>acre</v>
      </c>
      <c r="D68" s="100">
        <f>CustomRates!J15</f>
        <v>2.5</v>
      </c>
      <c r="E68" s="74">
        <f>CustomRates!J16</f>
        <v>0</v>
      </c>
      <c r="F68" s="101" t="str">
        <f t="shared" si="11"/>
        <v>0</v>
      </c>
    </row>
    <row r="69" spans="1:9" ht="20">
      <c r="A69" s="3"/>
      <c r="B69" s="108" t="str">
        <f>CustomRates!B17</f>
        <v>Custom self-propelled sprayer</v>
      </c>
      <c r="C69" s="32" t="str">
        <f>CustomRates!C17</f>
        <v>acre</v>
      </c>
      <c r="D69" s="100">
        <f>CustomRates!J17</f>
        <v>8</v>
      </c>
      <c r="E69" s="74">
        <f>CustomRates!J18</f>
        <v>0</v>
      </c>
      <c r="F69" s="101" t="str">
        <f t="shared" si="11"/>
        <v>0</v>
      </c>
    </row>
    <row r="70" spans="1:9" ht="20">
      <c r="A70" s="3"/>
      <c r="B70" s="108" t="str">
        <f>CustomRates!B19</f>
        <v>Additional Operation #8 (Custom)</v>
      </c>
      <c r="C70" s="32" t="str">
        <f>CustomRates!C19</f>
        <v>acre</v>
      </c>
      <c r="D70" s="100">
        <f>CustomRates!J19</f>
        <v>0</v>
      </c>
      <c r="E70" s="74">
        <f>CustomRates!J20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FieldApplications!$I$6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FieldApplications!$I$6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FieldApplications!$I$6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FieldApplications!$I$7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FieldApplications!$I$7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FieldApplications!$I$7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FieldApplications!$I$8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FieldApplications!$I$8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FieldApplications!$I$8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FieldApplications!$I$9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FieldApplications!$I$9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FieldApplications!$I$9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FieldApplications!$I$10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FieldApplications!$I$10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FieldApplications!$I$10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FieldApplications!$I$11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FieldApplications!$I$11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FieldApplications!$I$11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FieldApplications!$I$12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FieldApplications!$I$12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FieldApplications!$I$12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FieldApplications!$I$13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FieldApplications!$I$13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FieldApplications!$I$13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FieldApplications!$I$14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FieldApplications!$I$14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FieldApplications!$I$14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FieldApplications!$I$15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FieldApplications!$I$15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FieldApplications!$I$15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FieldApplications!$I$16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FieldApplications!$I$16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FieldApplications!$I$16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'Chem&amp;FertInputs&amp;CInsurance'!L73</f>
        <v>22</v>
      </c>
      <c r="E115" s="74">
        <v>1</v>
      </c>
      <c r="F115" s="101">
        <f>IF(D115*E115=0,"0",D115*E115)</f>
        <v>22</v>
      </c>
      <c r="H115" t="s">
        <v>181</v>
      </c>
      <c r="I115" t="s">
        <v>181</v>
      </c>
    </row>
    <row r="116" spans="1:13" ht="20">
      <c r="A116" s="3"/>
      <c r="B116" s="72" t="s">
        <v>72</v>
      </c>
      <c r="C116" s="32" t="s">
        <v>83</v>
      </c>
      <c r="D116" s="95">
        <f>MachineAssumptions!D25</f>
        <v>0.05</v>
      </c>
      <c r="E116" s="74"/>
      <c r="F116" s="73">
        <f>SUM(F8:F115)*D116</f>
        <v>10.587337292111034</v>
      </c>
      <c r="H116" s="40">
        <f>(SUM($F8:$F70)+$F115+SUM(H72:H113))*$D116</f>
        <v>10.587821361611663</v>
      </c>
      <c r="I116" s="40">
        <f>(SUM($F8:$F70)+$F115+SUM(I72:I113))*$D116</f>
        <v>10.449524389584621</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11.255662958675543</v>
      </c>
      <c r="H117" s="40">
        <f>(SUM(F8:F70)+(F115+F116+H114))*((D117/12)*MachineAssumptions!D27)</f>
        <v>11.25615307904493</v>
      </c>
      <c r="I117" s="40">
        <f>(SUM(F8:F70)+(F115+F116+I114))*((D117/12)*MachineAssumptions!D27)</f>
        <v>11.116127394867551</v>
      </c>
      <c r="J117" s="40">
        <f>F73+F76+F79+F82+F85+F88+F91+F94+F97+F100+F103+F106+F109+F112</f>
        <v>36.116622527605394</v>
      </c>
      <c r="K117" t="s">
        <v>4</v>
      </c>
    </row>
    <row r="118" spans="1:13" ht="20">
      <c r="A118" s="3"/>
      <c r="B118" s="9" t="s">
        <v>85</v>
      </c>
      <c r="C118" s="22"/>
      <c r="D118" s="124"/>
      <c r="E118" s="125"/>
      <c r="F118" s="126">
        <f>SUM(F8:F117)</f>
        <v>233.58974609300725</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c r="L119">
        <f>(L118-J118)/J118</f>
        <v>5.5914910997689716E-4</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23.231976314218116</v>
      </c>
      <c r="H135" s="37">
        <f t="shared" ref="H135" si="18">SUM(H121:H134)</f>
        <v>23.23173374584713</v>
      </c>
      <c r="I135" s="37">
        <f>SUM(I121:I134)</f>
        <v>23.231976314218116</v>
      </c>
      <c r="L135">
        <f>(H135-F135)/F135</f>
        <v>-1.0441142316310552E-5</v>
      </c>
      <c r="M135">
        <f>(I135-F135)/F135</f>
        <v>0</v>
      </c>
    </row>
    <row r="136" spans="1:13" ht="20">
      <c r="A136" s="3"/>
      <c r="B136" s="5"/>
      <c r="C136" s="5"/>
      <c r="D136" s="10"/>
      <c r="E136" s="5"/>
      <c r="F136" s="97"/>
    </row>
    <row r="137" spans="1:13" ht="20">
      <c r="A137" s="3"/>
      <c r="B137" s="9" t="s">
        <v>31</v>
      </c>
      <c r="C137" s="22"/>
      <c r="D137" s="23"/>
      <c r="E137" s="22"/>
      <c r="F137" s="38">
        <f>F118+F135</f>
        <v>256.82172240722537</v>
      </c>
      <c r="H137" s="38">
        <f>SUM(F16:F70)+H114+F115+H116+H117+H135+F8+(H9*D9)+(H10*D10)+(H11*D11)+(H12*D12)+(H13*D13)+(H14*D14)+(H15*D15)</f>
        <v>256.83213541873698</v>
      </c>
      <c r="I137" s="38">
        <f>SUM(F16:F70)+I114+F115+I116+I117+I135+F8+(I9*D9)+(I10*D10)+(I11*D11)+(I12*D12)+(I13*D13)+(I14*D14)+(I15*D15)</f>
        <v>253.78811589036269</v>
      </c>
    </row>
    <row r="138" spans="1:13" ht="21">
      <c r="A138" s="3"/>
      <c r="B138" s="24" t="s">
        <v>32</v>
      </c>
      <c r="C138" s="25"/>
      <c r="D138" s="26"/>
      <c r="E138" s="25"/>
      <c r="F138" s="39">
        <f>F5-F137</f>
        <v>-32.821722407225366</v>
      </c>
      <c r="H138" s="215">
        <f>H5-H137</f>
        <v>-32.832135418736982</v>
      </c>
      <c r="I138" s="215">
        <f>I5-I137</f>
        <v>-29.78811589036269</v>
      </c>
    </row>
  </sheetData>
  <mergeCells count="1">
    <mergeCell ref="B2:F2"/>
  </mergeCells>
  <pageMargins left="0.7" right="0.7" top="0.75" bottom="0.75" header="0.3" footer="0.3"/>
  <pageSetup scale="57" orientation="portrait" horizontalDpi="0" verticalDpi="0"/>
  <ignoredErrors>
    <ignoredError sqref="B114:F114 B90:B113 B116:F116 B115:D115 B135:G137 D117 B127:C134 E127:G134 B60:D60 E124:G124 B121:C124 B84:B89 B125:F126 B62:E62 C14:D14 E121:G123 C13:D13 C9:D9 C10:D10 C11:D11 C12:D12 F14 B61:D61 E4:F4 B5:F7 B3:F3 B8:F8 B4:D4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2EAC-4A9A-3E48-AAED-3DCA76951960}">
  <sheetPr codeName="Sheet44">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'Prices_Yields&amp;SeedInputs'!B12&amp;", Cash Costs and Returns of Producing, $/acre."</f>
        <v>Spring Pea after Cereal,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'Prices_Yields&amp;SeedInputs'!B12</f>
        <v>Spring Pea after Cereal</v>
      </c>
      <c r="C4" s="15" t="str">
        <f>'Prices_Yields&amp;SeedInputs'!C12</f>
        <v>lb</v>
      </c>
      <c r="D4" s="10">
        <f>'Prices_Yields&amp;SeedInputs'!D12</f>
        <v>0.12</v>
      </c>
      <c r="E4" s="77">
        <f>'Prices_Yields&amp;SeedInputs'!E12</f>
        <v>2000</v>
      </c>
      <c r="F4" s="28">
        <f>D4*E4</f>
        <v>240</v>
      </c>
      <c r="Q4" s="579"/>
      <c r="R4" s="579"/>
    </row>
    <row r="5" spans="1:18" ht="20">
      <c r="A5" s="3"/>
      <c r="B5" s="9" t="s">
        <v>14</v>
      </c>
      <c r="C5" s="22"/>
      <c r="D5" s="23"/>
      <c r="E5" s="22"/>
      <c r="F5" s="37">
        <f>SUM(F4:F4)</f>
        <v>240</v>
      </c>
      <c r="H5">
        <f>D4*'Prices_Yields&amp;SeedInputs'!F12</f>
        <v>240</v>
      </c>
      <c r="I5">
        <f>D4*'Prices_Yields&amp;SeedInputs'!G12</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'Prices_Yields&amp;SeedInputs'!H12</f>
        <v>pound</v>
      </c>
      <c r="D8" s="73">
        <f>'Prices_Yields&amp;SeedInputs'!I12</f>
        <v>0.34</v>
      </c>
      <c r="E8" s="104">
        <f>'Prices_Yields&amp;SeedInputs'!J12</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'Chem&amp;FertInputs&amp;CInsurance'!M6</f>
        <v>0</v>
      </c>
      <c r="F9" s="101" t="str">
        <f t="shared" si="0"/>
        <v>0</v>
      </c>
      <c r="H9">
        <f>'Chem&amp;FertInputs&amp;CInsurance'!M7</f>
        <v>0</v>
      </c>
      <c r="I9">
        <f>'Chem&amp;FertInputs&amp;CInsurance'!M8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'Chem&amp;FertInputs&amp;CInsurance'!M9</f>
        <v>0</v>
      </c>
      <c r="F10" s="101" t="str">
        <f t="shared" si="0"/>
        <v>0</v>
      </c>
      <c r="H10">
        <f>'Chem&amp;FertInputs&amp;CInsurance'!M10</f>
        <v>0</v>
      </c>
      <c r="I10">
        <f>'Chem&amp;FertInputs&amp;CInsurance'!M11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'Chem&amp;FertInputs&amp;CInsurance'!M12</f>
        <v>0</v>
      </c>
      <c r="F11" s="101" t="str">
        <f t="shared" si="0"/>
        <v>0</v>
      </c>
      <c r="H11">
        <f>'Chem&amp;FertInputs&amp;CInsurance'!M13</f>
        <v>0</v>
      </c>
      <c r="I11">
        <f>'Chem&amp;FertInputs&amp;CInsurance'!M14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'Chem&amp;FertInputs&amp;CInsurance'!M15</f>
        <v>0</v>
      </c>
      <c r="F12" s="101" t="str">
        <f t="shared" si="0"/>
        <v>0</v>
      </c>
      <c r="H12">
        <f>'Chem&amp;FertInputs&amp;CInsurance'!M16</f>
        <v>0</v>
      </c>
      <c r="I12">
        <f>'Chem&amp;FertInputs&amp;CInsurance'!M17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'Chem&amp;FertInputs&amp;CInsurance'!M18</f>
        <v>0</v>
      </c>
      <c r="F13" s="101" t="str">
        <f t="shared" si="0"/>
        <v>0</v>
      </c>
      <c r="H13">
        <f>'Chem&amp;FertInputs&amp;CInsurance'!M19</f>
        <v>0</v>
      </c>
      <c r="I13">
        <f>'Chem&amp;FertInputs&amp;CInsurance'!M20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'Chem&amp;FertInputs&amp;CInsurance'!M21</f>
        <v>1.7</v>
      </c>
      <c r="F14" s="101">
        <f t="shared" ref="F14:F20" si="1">IF(D14*E14=0,"0",D14*E14)</f>
        <v>0.81599999999999995</v>
      </c>
      <c r="G14" s="146">
        <f>E14/128</f>
        <v>1.328125E-2</v>
      </c>
      <c r="H14">
        <f>'Chem&amp;FertInputs&amp;CInsurance'!M22</f>
        <v>1.7</v>
      </c>
      <c r="I14">
        <f>'Chem&amp;FertInputs&amp;CInsurance'!M23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'Chem&amp;FertInputs&amp;CInsurance'!M24</f>
        <v>0</v>
      </c>
      <c r="F15" s="101" t="str">
        <f t="shared" si="1"/>
        <v>0</v>
      </c>
      <c r="G15" s="146">
        <f>E15/16</f>
        <v>0</v>
      </c>
      <c r="H15">
        <f>'Chem&amp;FertInputs&amp;CInsurance'!M25</f>
        <v>0</v>
      </c>
      <c r="I15">
        <f>'Chem&amp;FertInputs&amp;CInsurance'!M26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'Chem&amp;FertInputs&amp;CInsurance'!M27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'Chem&amp;FertInputs&amp;CInsurance'!M28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'Chem&amp;FertInputs&amp;CInsurance'!M29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'Chem&amp;FertInputs&amp;CInsurance'!M30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'Chem&amp;FertInputs&amp;CInsurance'!M31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'Chem&amp;FertInputs&amp;CInsurance'!M33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'Chem&amp;FertInputs&amp;CInsurance'!M34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'Chem&amp;FertInputs&amp;CInsurance'!M35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'Chem&amp;FertInputs&amp;CInsurance'!M36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'Chem&amp;FertInputs&amp;CInsurance'!M37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'Chem&amp;FertInputs&amp;CInsurance'!M38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'Chem&amp;FertInputs&amp;CInsurance'!M39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'Chem&amp;FertInputs&amp;CInsurance'!M40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'Chem&amp;FertInputs&amp;CInsurance'!M41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'Chem&amp;FertInputs&amp;CInsurance'!M42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'Chem&amp;FertInputs&amp;CInsurance'!M43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'Chem&amp;FertInputs&amp;CInsurance'!M44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'Chem&amp;FertInputs&amp;CInsurance'!M45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'Chem&amp;FertInputs&amp;CInsurance'!M46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'Chem&amp;FertInputs&amp;CInsurance'!M47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'Chem&amp;FertInputs&amp;CInsurance'!M48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'Chem&amp;FertInputs&amp;CInsurance'!M49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'Chem&amp;FertInputs&amp;CInsurance'!M50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'Chem&amp;FertInputs&amp;CInsurance'!M51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'Chem&amp;FertInputs&amp;CInsurance'!M52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'Chem&amp;FertInputs&amp;CInsurance'!M53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'Chem&amp;FertInputs&amp;CInsurance'!M54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'Chem&amp;FertInputs&amp;CInsurance'!M55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'Chem&amp;FertInputs&amp;CInsurance'!M56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'Chem&amp;FertInputs&amp;CInsurance'!M57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'Chem&amp;FertInputs&amp;CInsurance'!M58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'Chem&amp;FertInputs&amp;CInsurance'!M59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'Chem&amp;FertInputs&amp;CInsurance'!M60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'Chem&amp;FertInputs&amp;CInsurance'!M61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'Chem&amp;FertInputs&amp;CInsurance'!M62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'Chem&amp;FertInputs&amp;CInsurance'!M63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'Chem&amp;FertInputs&amp;CInsurance'!M64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'Chem&amp;FertInputs&amp;CInsurance'!M65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'Chem&amp;FertInputs&amp;CInsurance'!M66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'Chem&amp;FertInputs&amp;CInsurance'!M67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'Chem&amp;FertInputs&amp;CInsurance'!M68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'Chem&amp;FertInputs&amp;CInsurance'!M69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'Chem&amp;FertInputs&amp;CInsurance'!M70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'Chem&amp;FertInputs&amp;CInsurance'!M71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'Chem&amp;FertInputs&amp;CInsurance'!M72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'Chem&amp;FertInputs&amp;CInsurance'!M32</f>
        <v>18</v>
      </c>
      <c r="F61" s="101">
        <f t="shared" si="0"/>
        <v>2.6909999999999998</v>
      </c>
      <c r="G61" s="191">
        <f>E61/128</f>
        <v>0.140625</v>
      </c>
    </row>
    <row r="62" spans="1:7" ht="20">
      <c r="A62" s="3"/>
      <c r="B62" s="122" t="s">
        <v>86</v>
      </c>
      <c r="C62" s="16"/>
      <c r="D62" s="100"/>
      <c r="E62" s="116"/>
      <c r="F62" s="101"/>
      <c r="G62" s="146">
        <f>SUM(G14:G61)</f>
        <v>0.40156249999999999</v>
      </c>
    </row>
    <row r="63" spans="1:7" ht="20">
      <c r="A63" s="3"/>
      <c r="B63" s="108" t="str">
        <f>CustomRates!B5</f>
        <v>Aerial (Custom)</v>
      </c>
      <c r="C63" s="32" t="str">
        <f>CustomRates!C5</f>
        <v>acre</v>
      </c>
      <c r="D63" s="100">
        <f>CustomRates!K5</f>
        <v>8.9499999999999993</v>
      </c>
      <c r="E63" s="74">
        <f>CustomRates!K6</f>
        <v>1</v>
      </c>
      <c r="F63" s="101">
        <f t="shared" ref="F63:F70" si="11">IF(D63*E63=0,"0",D63*E63)</f>
        <v>8.9499999999999993</v>
      </c>
    </row>
    <row r="64" spans="1:7" ht="20">
      <c r="A64" s="3"/>
      <c r="B64" s="108" t="str">
        <f>CustomRates!B7</f>
        <v>Sprayer (Rental 90')</v>
      </c>
      <c r="C64" s="32" t="str">
        <f>CustomRates!C7</f>
        <v>acre</v>
      </c>
      <c r="D64" s="100">
        <f>CustomRates!K7</f>
        <v>8</v>
      </c>
      <c r="E64" s="74">
        <f>CustomRates!K8</f>
        <v>0</v>
      </c>
      <c r="F64" s="101" t="str">
        <f t="shared" si="11"/>
        <v>0</v>
      </c>
    </row>
    <row r="65" spans="1:9" ht="20">
      <c r="A65" s="3"/>
      <c r="B65" s="108" t="str">
        <f>CustomRates!B9</f>
        <v>Fertilizer - Anhydrous Applicator (Rent)</v>
      </c>
      <c r="C65" s="32" t="str">
        <f>CustomRates!C9</f>
        <v>acre</v>
      </c>
      <c r="D65" s="100">
        <f>CustomRates!K9</f>
        <v>7</v>
      </c>
      <c r="E65" s="74">
        <f>CustomRates!K10</f>
        <v>0</v>
      </c>
      <c r="F65" s="101" t="str">
        <f t="shared" si="11"/>
        <v>0</v>
      </c>
    </row>
    <row r="66" spans="1:9" ht="20">
      <c r="A66" s="3"/>
      <c r="B66" s="108" t="str">
        <f>CustomRates!B11</f>
        <v>Fertilizer Applicator</v>
      </c>
      <c r="C66" s="32" t="str">
        <f>CustomRates!C11</f>
        <v>acre</v>
      </c>
      <c r="D66" s="100">
        <f>CustomRates!K11</f>
        <v>2</v>
      </c>
      <c r="E66" s="74">
        <f>CustomRates!K12</f>
        <v>0</v>
      </c>
      <c r="F66" s="101" t="str">
        <f t="shared" si="11"/>
        <v>0</v>
      </c>
    </row>
    <row r="67" spans="1:9" ht="20">
      <c r="A67" s="3"/>
      <c r="B67" s="108" t="str">
        <f>CustomRates!B13</f>
        <v>26' Rental Shredder</v>
      </c>
      <c r="C67" s="32" t="str">
        <f>CustomRates!C13</f>
        <v>acre</v>
      </c>
      <c r="D67" s="100">
        <f>CustomRates!K13</f>
        <v>10</v>
      </c>
      <c r="E67" s="74">
        <f>CustomRates!K14</f>
        <v>0</v>
      </c>
      <c r="F67" s="101" t="str">
        <f t="shared" si="11"/>
        <v>0</v>
      </c>
    </row>
    <row r="68" spans="1:9" ht="20">
      <c r="A68" s="3"/>
      <c r="B68" s="108" t="str">
        <f>CustomRates!B15</f>
        <v>36' Ripper Shooter</v>
      </c>
      <c r="C68" s="32" t="str">
        <f>CustomRates!C15</f>
        <v>acre</v>
      </c>
      <c r="D68" s="100">
        <f>CustomRates!K15</f>
        <v>2.5</v>
      </c>
      <c r="E68" s="74">
        <f>CustomRates!K16</f>
        <v>0</v>
      </c>
      <c r="F68" s="101" t="str">
        <f t="shared" si="11"/>
        <v>0</v>
      </c>
    </row>
    <row r="69" spans="1:9" ht="20">
      <c r="A69" s="3"/>
      <c r="B69" s="108" t="str">
        <f>CustomRates!B17</f>
        <v>Custom self-propelled sprayer</v>
      </c>
      <c r="C69" s="32" t="str">
        <f>CustomRates!C17</f>
        <v>acre</v>
      </c>
      <c r="D69" s="100">
        <f>CustomRates!K17</f>
        <v>8</v>
      </c>
      <c r="E69" s="74">
        <f>CustomRates!K18</f>
        <v>0</v>
      </c>
      <c r="F69" s="101" t="str">
        <f t="shared" si="11"/>
        <v>0</v>
      </c>
    </row>
    <row r="70" spans="1:9" ht="20">
      <c r="A70" s="3"/>
      <c r="B70" s="108" t="str">
        <f>CustomRates!B19</f>
        <v>Additional Operation #8 (Custom)</v>
      </c>
      <c r="C70" s="32" t="str">
        <f>CustomRates!C19</f>
        <v>acre</v>
      </c>
      <c r="D70" s="100">
        <f>CustomRates!K19</f>
        <v>0</v>
      </c>
      <c r="E70" s="74">
        <f>CustomRates!K20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FieldApplications!$J$6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FieldApplications!$J$6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FieldApplications!$J$6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FieldApplications!$J$7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FieldApplications!$J$7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FieldApplications!$J$7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FieldApplications!$J$8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FieldApplications!$J$8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FieldApplications!$J$8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FieldApplications!$J$9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FieldApplications!$J$9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FieldApplications!$J$9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FieldApplications!$J$10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FieldApplications!$J$10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FieldApplications!$J$10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FieldApplications!$J$11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FieldApplications!$J$11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FieldApplications!$J$11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FieldApplications!$J$12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FieldApplications!$J$12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FieldApplications!$J$12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FieldApplications!$J$13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FieldApplications!$J$13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FieldApplications!$J$13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FieldApplications!$J$14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FieldApplications!$J$14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FieldApplications!$J$14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FieldApplications!$J$15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FieldApplications!$J$15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FieldApplications!$J$15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FieldApplications!$J$16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FieldApplications!$J$16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FieldApplications!$J$16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'Chem&amp;FertInputs&amp;CInsurance'!M73</f>
        <v>18</v>
      </c>
      <c r="E115" s="74">
        <v>1</v>
      </c>
      <c r="F115" s="101">
        <f>IF(D115*E115=0,"0",D115*E115)</f>
        <v>18</v>
      </c>
      <c r="H115" t="s">
        <v>181</v>
      </c>
      <c r="I115" t="s">
        <v>181</v>
      </c>
    </row>
    <row r="116" spans="1:13" ht="20">
      <c r="A116" s="3"/>
      <c r="B116" s="72" t="s">
        <v>72</v>
      </c>
      <c r="C116" s="32" t="s">
        <v>83</v>
      </c>
      <c r="D116" s="95">
        <f>MachineAssumptions!D25</f>
        <v>0.05</v>
      </c>
      <c r="E116" s="74"/>
      <c r="F116" s="73">
        <f>SUM(F8:F115)*D116</f>
        <v>10.351682292111034</v>
      </c>
      <c r="G116" t="s">
        <v>111</v>
      </c>
      <c r="H116" s="40">
        <f>(SUM($F8:$F70)+$F115+SUM(H72:H113))*$D116</f>
        <v>10.352166361611664</v>
      </c>
      <c r="I116" s="40">
        <f>(SUM($F8:$F70)+$F115+SUM(I72:I113))*$D116</f>
        <v>10.213869389584621</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11.005132236800543</v>
      </c>
      <c r="G117" t="s">
        <v>4</v>
      </c>
      <c r="H117" s="40">
        <f>(SUM(F8:F70)+(F115+F116+H114))*((D117/12)*MachineAssumptions!D27)</f>
        <v>11.00562235716993</v>
      </c>
      <c r="I117" s="40">
        <f>(SUM(F8:F70)+(F115+F116+I114))*((D117/12)*MachineAssumptions!D27)</f>
        <v>10.865596672992551</v>
      </c>
      <c r="J117" s="40">
        <f>F73+F76+F79+F82+F85+F88+F91+F94+F97+F100+F103+F106+F109+F112</f>
        <v>36.116622527605394</v>
      </c>
      <c r="K117" t="s">
        <v>4</v>
      </c>
    </row>
    <row r="118" spans="1:13" ht="20">
      <c r="A118" s="3"/>
      <c r="B118" s="9" t="s">
        <v>85</v>
      </c>
      <c r="C118" s="22"/>
      <c r="D118" s="124"/>
      <c r="E118" s="125"/>
      <c r="F118" s="126">
        <f>SUM(F8:F117)</f>
        <v>228.39046037113224</v>
      </c>
      <c r="G118" t="s">
        <v>112</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23.23173374584713</v>
      </c>
      <c r="I135" s="37">
        <f t="shared" si="18"/>
        <v>23.231976314218116</v>
      </c>
    </row>
    <row r="136" spans="1:9" ht="20">
      <c r="A136" s="3"/>
      <c r="B136" s="5"/>
      <c r="C136" s="5"/>
      <c r="D136" s="10"/>
      <c r="E136" s="5"/>
      <c r="F136" s="97"/>
    </row>
    <row r="137" spans="1:9" ht="20">
      <c r="A137" s="3"/>
      <c r="B137" s="9" t="s">
        <v>31</v>
      </c>
      <c r="C137" s="22"/>
      <c r="D137" s="23"/>
      <c r="E137" s="22"/>
      <c r="F137" s="38">
        <f>F118+F135</f>
        <v>251.62243668535035</v>
      </c>
      <c r="H137" s="38">
        <f>SUM(F16:F70)+H114+F115+H116+H117+H135+F8+(H9*D9)+(H10*D10)+(H11*D11)+(H12*D12)+(H13*D13)+(H14*D14)+(H15*D15)</f>
        <v>251.63284969686197</v>
      </c>
      <c r="I137" s="38">
        <f>SUM(F16:F70)+I114+F115+I116+I117+I135+F8+(I9*D9)+(I10*D10)+(I11*D11)+(I12*D12)+(I13*D13)+(I14*D14)+(I15*D15)</f>
        <v>248.5888301684877</v>
      </c>
    </row>
    <row r="138" spans="1:9" ht="21">
      <c r="A138" s="3"/>
      <c r="B138" s="24" t="s">
        <v>32</v>
      </c>
      <c r="C138" s="25"/>
      <c r="D138" s="26"/>
      <c r="E138" s="25"/>
      <c r="F138" s="39">
        <f>F5-F137</f>
        <v>-11.622436685350351</v>
      </c>
      <c r="H138" s="215">
        <f>H5-H137</f>
        <v>-11.632849696861967</v>
      </c>
      <c r="I138" s="215">
        <f>I5-I137</f>
        <v>-8.5888301684877035</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BCBD-0C76-A244-9458-E97C445A8AF1}">
  <sheetPr codeName="Sheet10">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'Prices_Yields&amp;SeedInputs'!B13&amp;", Cash Costs and Returns of Producing, $/acre."</f>
        <v>Forage Crop-St. John Area,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'Prices_Yields&amp;SeedInputs'!B13</f>
        <v>Forage Crop-St. John Area</v>
      </c>
      <c r="C4" s="15" t="str">
        <f>'Prices_Yields&amp;SeedInputs'!C13</f>
        <v>acre</v>
      </c>
      <c r="D4" s="10">
        <f>'Prices_Yields&amp;SeedInputs'!D13</f>
        <v>0</v>
      </c>
      <c r="E4" s="77">
        <f>'Prices_Yields&amp;SeedInputs'!E13</f>
        <v>0</v>
      </c>
      <c r="F4" s="28">
        <f>D4*E4</f>
        <v>0</v>
      </c>
      <c r="Q4" s="579"/>
      <c r="R4" s="579"/>
    </row>
    <row r="5" spans="1:18" ht="20.5" customHeight="1">
      <c r="A5" s="3"/>
      <c r="B5" s="9" t="s">
        <v>14</v>
      </c>
      <c r="C5" s="22"/>
      <c r="D5" s="23"/>
      <c r="E5" s="22"/>
      <c r="F5" s="37">
        <f>SUM(F4:F4)</f>
        <v>0</v>
      </c>
      <c r="H5">
        <f>D4*'Prices_Yields&amp;SeedInputs'!F13</f>
        <v>0</v>
      </c>
      <c r="I5">
        <f>D4*'Prices_Yields&amp;SeedInputs'!G13</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'Prices_Yields&amp;SeedInputs'!H13</f>
        <v>pound</v>
      </c>
      <c r="D8" s="73">
        <f>'Prices_Yields&amp;SeedInputs'!I13</f>
        <v>0.36</v>
      </c>
      <c r="E8" s="104">
        <f>'Prices_Yields&amp;SeedInputs'!J13</f>
        <v>82.24</v>
      </c>
      <c r="F8" s="101">
        <f t="shared" ref="F8:F61" si="0">IF(D8*E8=0,"0",D8*E8)</f>
        <v>29.606399999999997</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'Chem&amp;FertInputs&amp;CInsurance'!N6</f>
        <v>0</v>
      </c>
      <c r="F9" s="101" t="str">
        <f t="shared" si="0"/>
        <v>0</v>
      </c>
      <c r="H9">
        <f>'Chem&amp;FertInputs&amp;CInsurance'!N7</f>
        <v>0</v>
      </c>
      <c r="I9">
        <f>'Chem&amp;FertInputs&amp;CInsurance'!N8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'Chem&amp;FertInputs&amp;CInsurance'!N9</f>
        <v>0</v>
      </c>
      <c r="F10" s="101" t="str">
        <f t="shared" si="0"/>
        <v>0</v>
      </c>
      <c r="H10">
        <f>'Chem&amp;FertInputs&amp;CInsurance'!N10</f>
        <v>0</v>
      </c>
      <c r="I10">
        <f>'Chem&amp;FertInputs&amp;CInsurance'!N11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'Chem&amp;FertInputs&amp;CInsurance'!N12</f>
        <v>0</v>
      </c>
      <c r="F11" s="101" t="str">
        <f t="shared" si="0"/>
        <v>0</v>
      </c>
      <c r="H11">
        <f>'Chem&amp;FertInputs&amp;CInsurance'!N13</f>
        <v>0</v>
      </c>
      <c r="I11">
        <f>'Chem&amp;FertInputs&amp;CInsurance'!N14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'Chem&amp;FertInputs&amp;CInsurance'!N15</f>
        <v>0</v>
      </c>
      <c r="F12" s="101" t="str">
        <f t="shared" si="0"/>
        <v>0</v>
      </c>
      <c r="H12">
        <f>'Chem&amp;FertInputs&amp;CInsurance'!N16</f>
        <v>0</v>
      </c>
      <c r="I12">
        <f>'Chem&amp;FertInputs&amp;CInsurance'!N17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'Chem&amp;FertInputs&amp;CInsurance'!N18</f>
        <v>0</v>
      </c>
      <c r="F13" s="101" t="str">
        <f t="shared" si="0"/>
        <v>0</v>
      </c>
      <c r="H13">
        <f>'Chem&amp;FertInputs&amp;CInsurance'!N19</f>
        <v>0</v>
      </c>
      <c r="I13">
        <f>'Chem&amp;FertInputs&amp;CInsurance'!N20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'Chem&amp;FertInputs&amp;CInsurance'!N21</f>
        <v>0</v>
      </c>
      <c r="F14" s="101" t="str">
        <f t="shared" ref="F14:F20" si="1">IF(D14*E14=0,"0",D14*E14)</f>
        <v>0</v>
      </c>
      <c r="G14" s="146">
        <f>E14/128</f>
        <v>0</v>
      </c>
      <c r="H14">
        <f>'Chem&amp;FertInputs&amp;CInsurance'!N22</f>
        <v>0</v>
      </c>
      <c r="I14">
        <f>'Chem&amp;FertInputs&amp;CInsurance'!N23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'Chem&amp;FertInputs&amp;CInsurance'!N24</f>
        <v>0</v>
      </c>
      <c r="F15" s="101" t="str">
        <f t="shared" si="1"/>
        <v>0</v>
      </c>
      <c r="G15" s="146">
        <f>E15/16</f>
        <v>0</v>
      </c>
      <c r="H15">
        <f>'Chem&amp;FertInputs&amp;CInsurance'!N25</f>
        <v>0</v>
      </c>
      <c r="I15">
        <f>'Chem&amp;FertInputs&amp;CInsurance'!N26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'Chem&amp;FertInputs&amp;CInsurance'!N27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'Chem&amp;FertInputs&amp;CInsurance'!N28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'Chem&amp;FertInputs&amp;CInsurance'!N29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'Chem&amp;FertInputs&amp;CInsurance'!N30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'Chem&amp;FertInputs&amp;CInsurance'!N31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'Chem&amp;FertInputs&amp;CInsurance'!N33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'Chem&amp;FertInputs&amp;CInsurance'!N34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'Chem&amp;FertInputs&amp;CInsurance'!N35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'Chem&amp;FertInputs&amp;CInsurance'!N36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'Chem&amp;FertInputs&amp;CInsurance'!N37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'Chem&amp;FertInputs&amp;CInsurance'!N38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'Chem&amp;FertInputs&amp;CInsurance'!N39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'Chem&amp;FertInputs&amp;CInsurance'!N40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'Chem&amp;FertInputs&amp;CInsurance'!N41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'Chem&amp;FertInputs&amp;CInsurance'!N42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'Chem&amp;FertInputs&amp;CInsurance'!N43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'Chem&amp;FertInputs&amp;CInsurance'!N44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'Chem&amp;FertInputs&amp;CInsurance'!N45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'Chem&amp;FertInputs&amp;CInsurance'!N46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'Chem&amp;FertInputs&amp;CInsurance'!N47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'Chem&amp;FertInputs&amp;CInsurance'!N48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'Chem&amp;FertInputs&amp;CInsurance'!N49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'Chem&amp;FertInputs&amp;CInsurance'!N50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'Chem&amp;FertInputs&amp;CInsurance'!N51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'Chem&amp;FertInputs&amp;CInsurance'!N52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'Chem&amp;FertInputs&amp;CInsurance'!N53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'Chem&amp;FertInputs&amp;CInsurance'!N54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'Chem&amp;FertInputs&amp;CInsurance'!N55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'Chem&amp;FertInputs&amp;CInsurance'!N56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'Chem&amp;FertInputs&amp;CInsurance'!N57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'Chem&amp;FertInputs&amp;CInsurance'!N58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'Chem&amp;FertInputs&amp;CInsurance'!N59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'Chem&amp;FertInputs&amp;CInsurance'!N60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'Chem&amp;FertInputs&amp;CInsurance'!N61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'Chem&amp;FertInputs&amp;CInsurance'!N62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'Chem&amp;FertInputs&amp;CInsurance'!N63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'Chem&amp;FertInputs&amp;CInsurance'!N64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'Chem&amp;FertInputs&amp;CInsurance'!N65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'Chem&amp;FertInputs&amp;CInsurance'!N66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'Chem&amp;FertInputs&amp;CInsurance'!N67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'Chem&amp;FertInputs&amp;CInsurance'!N68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'Chem&amp;FertInputs&amp;CInsurance'!N69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'Chem&amp;FertInputs&amp;CInsurance'!N70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'Chem&amp;FertInputs&amp;CInsurance'!N71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'Chem&amp;FertInputs&amp;CInsurance'!N72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'Chem&amp;FertInputs&amp;CInsurance'!N32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CustomRates!L5</f>
        <v>8.9499999999999993</v>
      </c>
      <c r="E63" s="74">
        <f>CustomRates!L6</f>
        <v>0</v>
      </c>
      <c r="F63" s="101" t="str">
        <f t="shared" ref="F63:F70" si="11">IF(D63*E63=0,"0",D63*E63)</f>
        <v>0</v>
      </c>
    </row>
    <row r="64" spans="1:7" ht="20">
      <c r="A64" s="3"/>
      <c r="B64" s="108" t="str">
        <f>CustomRates!B7</f>
        <v>Sprayer (Rental 90')</v>
      </c>
      <c r="C64" s="32" t="str">
        <f>CustomRates!C7</f>
        <v>acre</v>
      </c>
      <c r="D64" s="100">
        <f>CustomRates!L7</f>
        <v>8</v>
      </c>
      <c r="E64" s="74">
        <f>CustomRates!L8</f>
        <v>0</v>
      </c>
      <c r="F64" s="101" t="str">
        <f t="shared" si="11"/>
        <v>0</v>
      </c>
    </row>
    <row r="65" spans="1:9" ht="20">
      <c r="A65" s="3"/>
      <c r="B65" s="108" t="str">
        <f>CustomRates!B9</f>
        <v>Fertilizer - Anhydrous Applicator (Rent)</v>
      </c>
      <c r="C65" s="32" t="str">
        <f>CustomRates!C9</f>
        <v>acre</v>
      </c>
      <c r="D65" s="100">
        <f>CustomRates!L9</f>
        <v>7</v>
      </c>
      <c r="E65" s="74">
        <f>CustomRates!L10</f>
        <v>0</v>
      </c>
      <c r="F65" s="101" t="str">
        <f t="shared" si="11"/>
        <v>0</v>
      </c>
    </row>
    <row r="66" spans="1:9" ht="20">
      <c r="A66" s="3"/>
      <c r="B66" s="108" t="str">
        <f>CustomRates!B11</f>
        <v>Fertilizer Applicator</v>
      </c>
      <c r="C66" s="32" t="str">
        <f>CustomRates!C11</f>
        <v>acre</v>
      </c>
      <c r="D66" s="100">
        <f>CustomRates!L11</f>
        <v>2</v>
      </c>
      <c r="E66" s="74">
        <f>CustomRates!L12</f>
        <v>0</v>
      </c>
      <c r="F66" s="101" t="str">
        <f t="shared" si="11"/>
        <v>0</v>
      </c>
    </row>
    <row r="67" spans="1:9" ht="20">
      <c r="A67" s="3"/>
      <c r="B67" s="108" t="str">
        <f>CustomRates!B13</f>
        <v>26' Rental Shredder</v>
      </c>
      <c r="C67" s="32" t="str">
        <f>CustomRates!C13</f>
        <v>acre</v>
      </c>
      <c r="D67" s="100">
        <f>CustomRates!L13</f>
        <v>10</v>
      </c>
      <c r="E67" s="74">
        <f>CustomRates!L14</f>
        <v>0</v>
      </c>
      <c r="F67" s="101" t="str">
        <f t="shared" si="11"/>
        <v>0</v>
      </c>
    </row>
    <row r="68" spans="1:9" ht="20">
      <c r="A68" s="3"/>
      <c r="B68" s="108" t="str">
        <f>CustomRates!B15</f>
        <v>36' Ripper Shooter</v>
      </c>
      <c r="C68" s="32" t="str">
        <f>CustomRates!C15</f>
        <v>acre</v>
      </c>
      <c r="D68" s="100">
        <f>CustomRates!L15</f>
        <v>2.5</v>
      </c>
      <c r="E68" s="74">
        <f>CustomRates!L16</f>
        <v>0</v>
      </c>
      <c r="F68" s="101" t="str">
        <f t="shared" si="11"/>
        <v>0</v>
      </c>
    </row>
    <row r="69" spans="1:9" ht="20">
      <c r="A69" s="3"/>
      <c r="B69" s="108" t="str">
        <f>CustomRates!B17</f>
        <v>Custom self-propelled sprayer</v>
      </c>
      <c r="C69" s="32" t="str">
        <f>CustomRates!C17</f>
        <v>acre</v>
      </c>
      <c r="D69" s="100">
        <f>CustomRates!L17</f>
        <v>8</v>
      </c>
      <c r="E69" s="74">
        <f>CustomRates!L18</f>
        <v>0</v>
      </c>
      <c r="F69" s="101" t="str">
        <f t="shared" si="11"/>
        <v>0</v>
      </c>
    </row>
    <row r="70" spans="1:9" ht="20">
      <c r="A70" s="3"/>
      <c r="B70" s="108" t="str">
        <f>CustomRates!B19</f>
        <v>Additional Operation #8 (Custom)</v>
      </c>
      <c r="C70" s="32" t="str">
        <f>CustomRates!C19</f>
        <v>acre</v>
      </c>
      <c r="D70" s="100">
        <f>CustomRates!L19</f>
        <v>0</v>
      </c>
      <c r="E70" s="74">
        <f>CustomRates!L20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FieldApplications!$K$6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FieldApplications!$K$6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FieldApplications!$K$6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FieldApplications!$K$7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FieldApplications!$K$7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FieldApplications!$K$7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FieldApplications!$K$8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FieldApplications!$K$8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FieldApplications!$K$8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FieldApplications!$K$9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FieldApplications!$K$9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FieldApplications!$K$9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FieldApplications!$K$10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FieldApplications!$K$10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FieldApplications!$K$10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FieldApplications!$K$11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FieldApplications!$K$11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FieldApplications!$K$11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FieldApplications!$K$12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FieldApplications!$K$12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FieldApplications!$K$12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FieldApplications!$K$13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FieldApplications!$K$13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FieldApplications!$K$13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FieldApplications!$K$14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FieldApplications!$K$14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FieldApplications!$K$14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FieldApplications!$K$15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FieldApplications!$K$15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FieldApplications!$K$15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FieldApplications!$K$16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FieldApplications!$K$16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FieldApplications!$K$16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16.335856722905092</v>
      </c>
      <c r="I114" s="214">
        <f>SUM(I74:I113)</f>
        <v>16.284139365868228</v>
      </c>
    </row>
    <row r="115" spans="1:13" ht="20">
      <c r="A115" s="3"/>
      <c r="B115" s="72" t="str">
        <f>'Chem&amp;FertInputs&amp;CInsurance'!B73</f>
        <v>Crop Insurance</v>
      </c>
      <c r="C115" s="16" t="str">
        <f>'Chem&amp;FertInputs&amp;CInsurance'!D73</f>
        <v>acre</v>
      </c>
      <c r="D115" s="100">
        <f>'Chem&amp;FertInputs&amp;CInsurance'!N73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2.8695708013949397</v>
      </c>
      <c r="H116" s="40">
        <f>(SUM($F8:$F70)+$F115+SUM(H72:H113))*$D116</f>
        <v>2.8698128361452544</v>
      </c>
      <c r="I116" s="40">
        <f>(SUM($F8:$F70)+$F115+SUM(I72:I113))*$D116</f>
        <v>2.8672269682934113</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3.0507124582329954</v>
      </c>
      <c r="H117" s="40">
        <f>(SUM(F8:F70)+(F115+F116+H114))*((D117/12)*MachineAssumptions!D27)</f>
        <v>3.0509575184176887</v>
      </c>
      <c r="I117" s="40">
        <f>(SUM(F8:F70)+(F115+F116+I114))*((D117/12)*MachineAssumptions!D27)</f>
        <v>3.0483393272176977</v>
      </c>
      <c r="J117" s="40">
        <f>F73+F76+F79+F82+F85+F88+F91+F94+F97+F100+F103+F106+F109+F112</f>
        <v>7.9515238675255082</v>
      </c>
      <c r="K117" t="s">
        <v>4</v>
      </c>
    </row>
    <row r="118" spans="1:13" ht="20">
      <c r="A118" s="3"/>
      <c r="B118" s="9" t="s">
        <v>85</v>
      </c>
      <c r="C118" s="22"/>
      <c r="D118" s="124"/>
      <c r="E118" s="125"/>
      <c r="F118" s="126">
        <f>SUM(F8:F117)</f>
        <v>63.311699287526729</v>
      </c>
      <c r="J118" s="40">
        <f>F74+F77+F80+F83+F86+F89+F92+F95+F98+F101+F104+F107+F110+F113</f>
        <v>6.2383691469747848</v>
      </c>
      <c r="K118" t="s">
        <v>112</v>
      </c>
      <c r="L118" s="40">
        <f>H74+H77+H80+H83+H86+H89+H92+H95+H98+H101+H104+H107+H110+H113</f>
        <v>6.2432098419810744</v>
      </c>
      <c r="M118" s="40">
        <f>I74+I77+I80+I83+I86+I89+I92+I95+I98+I101+I104+I107+I110+I113</f>
        <v>6.1914924849442095</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8.0509384002405913</v>
      </c>
      <c r="I135" s="37">
        <f t="shared" si="18"/>
        <v>8.0510596844260842</v>
      </c>
    </row>
    <row r="136" spans="1:9" ht="20">
      <c r="A136" s="3"/>
      <c r="B136" s="5"/>
      <c r="C136" s="5"/>
      <c r="D136" s="10"/>
      <c r="E136" s="5"/>
      <c r="F136" s="97"/>
    </row>
    <row r="137" spans="1:9" ht="20">
      <c r="A137" s="3"/>
      <c r="B137" s="9" t="s">
        <v>31</v>
      </c>
      <c r="C137" s="22"/>
      <c r="D137" s="23"/>
      <c r="E137" s="22"/>
      <c r="F137" s="38">
        <f>F118+F135</f>
        <v>71.362758971952815</v>
      </c>
      <c r="H137" s="38">
        <f>SUM(F16:F70)+H114+F115+H116+H117+H135+F8+(H9*D9)+(H10*D10)+(H11*D11)+(H12*D12)+(H13*D13)+(H14*D14)+(H15*D15)</f>
        <v>71.367965477708623</v>
      </c>
      <c r="I137" s="38">
        <f>SUM(F16:F70)+I114+F115+I116+I117+I135+F8+(I9*D9)+(I10*D10)+(I11*D11)+(I12*D12)+(I13*D13)+(I14*D14)+(I15*D15)</f>
        <v>71.311165345805421</v>
      </c>
    </row>
    <row r="138" spans="1:9" ht="21">
      <c r="A138" s="3"/>
      <c r="B138" s="24" t="s">
        <v>32</v>
      </c>
      <c r="C138" s="25"/>
      <c r="D138" s="26"/>
      <c r="E138" s="25"/>
      <c r="F138" s="39">
        <f>F5-F137</f>
        <v>-71.362758971952815</v>
      </c>
      <c r="H138" s="215">
        <f>H5-H137</f>
        <v>-71.367965477708623</v>
      </c>
      <c r="I138" s="215">
        <f>I5-I137</f>
        <v>-71.311165345805421</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C13:D13 B62:E71 C14:D14 E121:G123 C9:D9 C10:D10 C11:D11 C12:D12 F14 B61:D61 C8:E8 B4:F4 B5:F7 B3:F3 B8 F8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BEBD-205B-B046-8DDC-3BE75AC62098}">
  <sheetPr codeName="Sheet12">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11.5" customWidth="1"/>
  </cols>
  <sheetData>
    <row r="1" spans="1:18" ht="20">
      <c r="A1" s="302" t="s">
        <v>8</v>
      </c>
      <c r="B1" s="20"/>
      <c r="C1" s="5"/>
      <c r="D1" s="10"/>
      <c r="E1" s="5"/>
      <c r="F1" s="5"/>
    </row>
    <row r="2" spans="1:18" ht="20">
      <c r="A2" s="3"/>
      <c r="B2" s="709" t="str">
        <f>'Prices_Yields&amp;SeedInputs'!B14&amp;", Cash Costs and Returns of Producing, $/acre."</f>
        <v>Forage Crop-Genesee Area, Cash Costs and Returns of Producing, $/acre.</v>
      </c>
      <c r="C2" s="709"/>
      <c r="D2" s="709"/>
      <c r="E2" s="709"/>
      <c r="F2" s="709"/>
    </row>
    <row r="3" spans="1:18" ht="20.5" customHeight="1">
      <c r="A3" s="3"/>
      <c r="B3" s="21"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'Prices_Yields&amp;SeedInputs'!B14</f>
        <v>Forage Crop-Genesee Area</v>
      </c>
      <c r="C4" s="15" t="str">
        <f>'Prices_Yields&amp;SeedInputs'!C14</f>
        <v>acre</v>
      </c>
      <c r="D4" s="10">
        <f>'Prices_Yields&amp;SeedInputs'!D14</f>
        <v>0</v>
      </c>
      <c r="E4" s="77">
        <f>'Prices_Yields&amp;SeedInputs'!E14</f>
        <v>0</v>
      </c>
      <c r="F4" s="28">
        <f>D4*E4</f>
        <v>0</v>
      </c>
      <c r="Q4" s="579"/>
      <c r="R4" s="579"/>
    </row>
    <row r="5" spans="1:18" ht="20.5" customHeight="1">
      <c r="A5" s="3"/>
      <c r="B5" s="9" t="s">
        <v>14</v>
      </c>
      <c r="C5" s="22"/>
      <c r="D5" s="23"/>
      <c r="E5" s="22"/>
      <c r="F5" s="37">
        <f>SUM(F4:F4)</f>
        <v>0</v>
      </c>
      <c r="H5">
        <f>D4*'Prices_Yields&amp;SeedInputs'!F14</f>
        <v>0</v>
      </c>
      <c r="I5">
        <f>D4*'Prices_Yields&amp;SeedInputs'!G14</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'Prices_Yields&amp;SeedInputs'!H14</f>
        <v>pound</v>
      </c>
      <c r="D8" s="73">
        <f>'Prices_Yields&amp;SeedInputs'!I14</f>
        <v>0.44</v>
      </c>
      <c r="E8" s="104">
        <f>'Prices_Yields&amp;SeedInputs'!J14</f>
        <v>63.5</v>
      </c>
      <c r="F8" s="101">
        <f t="shared" ref="F8:F61" si="0">IF(D8*E8=0,"0",D8*E8)</f>
        <v>27.94</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'Chem&amp;FertInputs&amp;CInsurance'!O6</f>
        <v>0</v>
      </c>
      <c r="F9" s="101" t="str">
        <f t="shared" si="0"/>
        <v>0</v>
      </c>
      <c r="H9">
        <f>'Chem&amp;FertInputs&amp;CInsurance'!O7</f>
        <v>0</v>
      </c>
      <c r="I9">
        <f>'Chem&amp;FertInputs&amp;CInsurance'!O8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'Chem&amp;FertInputs&amp;CInsurance'!O9</f>
        <v>0</v>
      </c>
      <c r="F10" s="101" t="str">
        <f t="shared" si="0"/>
        <v>0</v>
      </c>
      <c r="H10">
        <f>'Chem&amp;FertInputs&amp;CInsurance'!O10</f>
        <v>0</v>
      </c>
      <c r="I10">
        <f>'Chem&amp;FertInputs&amp;CInsurance'!O11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'Chem&amp;FertInputs&amp;CInsurance'!O12</f>
        <v>0</v>
      </c>
      <c r="F11" s="101" t="str">
        <f t="shared" si="0"/>
        <v>0</v>
      </c>
      <c r="H11">
        <f>'Chem&amp;FertInputs&amp;CInsurance'!O13</f>
        <v>0</v>
      </c>
      <c r="I11">
        <f>'Chem&amp;FertInputs&amp;CInsurance'!O14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'Chem&amp;FertInputs&amp;CInsurance'!O15</f>
        <v>0</v>
      </c>
      <c r="F12" s="101" t="str">
        <f t="shared" si="0"/>
        <v>0</v>
      </c>
      <c r="H12">
        <f>'Chem&amp;FertInputs&amp;CInsurance'!O16</f>
        <v>0</v>
      </c>
      <c r="I12">
        <f>'Chem&amp;FertInputs&amp;CInsurance'!O17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'Chem&amp;FertInputs&amp;CInsurance'!O18</f>
        <v>0</v>
      </c>
      <c r="F13" s="101" t="str">
        <f t="shared" si="0"/>
        <v>0</v>
      </c>
      <c r="H13">
        <f>'Chem&amp;FertInputs&amp;CInsurance'!O19</f>
        <v>0</v>
      </c>
      <c r="I13">
        <f>'Chem&amp;FertInputs&amp;CInsurance'!O20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'Chem&amp;FertInputs&amp;CInsurance'!O21</f>
        <v>0</v>
      </c>
      <c r="F14" s="101" t="str">
        <f t="shared" ref="F14:F20" si="1">IF(D14*E14=0,"0",D14*E14)</f>
        <v>0</v>
      </c>
      <c r="G14" s="146">
        <f>E14/128</f>
        <v>0</v>
      </c>
      <c r="H14">
        <f>'Chem&amp;FertInputs&amp;CInsurance'!O22</f>
        <v>0</v>
      </c>
      <c r="I14">
        <f>'Chem&amp;FertInputs&amp;CInsurance'!O23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'Chem&amp;FertInputs&amp;CInsurance'!O24</f>
        <v>0</v>
      </c>
      <c r="F15" s="101" t="str">
        <f t="shared" si="1"/>
        <v>0</v>
      </c>
      <c r="G15" s="146">
        <f>E15/16</f>
        <v>0</v>
      </c>
      <c r="H15">
        <f>'Chem&amp;FertInputs&amp;CInsurance'!O25</f>
        <v>0</v>
      </c>
      <c r="I15">
        <f>'Chem&amp;FertInputs&amp;CInsurance'!O26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'Chem&amp;FertInputs&amp;CInsurance'!O27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'Chem&amp;FertInputs&amp;CInsurance'!O28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'Chem&amp;FertInputs&amp;CInsurance'!O29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'Chem&amp;FertInputs&amp;CInsurance'!O30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'Chem&amp;FertInputs&amp;CInsurance'!O31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'Chem&amp;FertInputs&amp;CInsurance'!O33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'Chem&amp;FertInputs&amp;CInsurance'!O34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'Chem&amp;FertInputs&amp;CInsurance'!O35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'Chem&amp;FertInputs&amp;CInsurance'!O36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'Chem&amp;FertInputs&amp;CInsurance'!O37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'Chem&amp;FertInputs&amp;CInsurance'!O38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'Chem&amp;FertInputs&amp;CInsurance'!O39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'Chem&amp;FertInputs&amp;CInsurance'!O40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'Chem&amp;FertInputs&amp;CInsurance'!O41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'Chem&amp;FertInputs&amp;CInsurance'!O42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'Chem&amp;FertInputs&amp;CInsurance'!O43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'Chem&amp;FertInputs&amp;CInsurance'!O44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'Chem&amp;FertInputs&amp;CInsurance'!O45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'Chem&amp;FertInputs&amp;CInsurance'!O46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'Chem&amp;FertInputs&amp;CInsurance'!O47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'Chem&amp;FertInputs&amp;CInsurance'!O48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'Chem&amp;FertInputs&amp;CInsurance'!O49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'Chem&amp;FertInputs&amp;CInsurance'!O50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'Chem&amp;FertInputs&amp;CInsurance'!O51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'Chem&amp;FertInputs&amp;CInsurance'!O52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'Chem&amp;FertInputs&amp;CInsurance'!O53</f>
        <v>0</v>
      </c>
      <c r="F41" s="101" t="str">
        <f t="shared" ref="F41:F42"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'Chem&amp;FertInputs&amp;CInsurance'!O54</f>
        <v>0</v>
      </c>
      <c r="F42" s="101" t="str">
        <f t="shared" si="6"/>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'Chem&amp;FertInputs&amp;CInsurance'!O55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'Chem&amp;FertInputs&amp;CInsurance'!O56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'Chem&amp;FertInputs&amp;CInsurance'!O57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'Chem&amp;FertInputs&amp;CInsurance'!O58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'Chem&amp;FertInputs&amp;CInsurance'!O59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'Chem&amp;FertInputs&amp;CInsurance'!O60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'Chem&amp;FertInputs&amp;CInsurance'!O61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'Chem&amp;FertInputs&amp;CInsurance'!O62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'Chem&amp;FertInputs&amp;CInsurance'!O63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'Chem&amp;FertInputs&amp;CInsurance'!O64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'Chem&amp;FertInputs&amp;CInsurance'!O65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'Chem&amp;FertInputs&amp;CInsurance'!O66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'Chem&amp;FertInputs&amp;CInsurance'!O67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'Chem&amp;FertInputs&amp;CInsurance'!O68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'Chem&amp;FertInputs&amp;CInsurance'!O69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'Chem&amp;FertInputs&amp;CInsurance'!O70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'Chem&amp;FertInputs&amp;CInsurance'!O71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'Chem&amp;FertInputs&amp;CInsurance'!O72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'Chem&amp;FertInputs&amp;CInsurance'!O32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CustomRates!M5</f>
        <v>8.9499999999999993</v>
      </c>
      <c r="E63" s="74">
        <f>CustomRates!M6</f>
        <v>0</v>
      </c>
      <c r="F63" s="101" t="str">
        <f t="shared" ref="F63:F70" si="11">IF(D63*E63=0,"0",D63*E63)</f>
        <v>0</v>
      </c>
    </row>
    <row r="64" spans="1:7" ht="20">
      <c r="A64" s="3"/>
      <c r="B64" s="108" t="str">
        <f>CustomRates!B7</f>
        <v>Sprayer (Rental 90')</v>
      </c>
      <c r="C64" s="32" t="str">
        <f>CustomRates!C7</f>
        <v>acre</v>
      </c>
      <c r="D64" s="100">
        <f>CustomRates!M7</f>
        <v>8</v>
      </c>
      <c r="E64" s="74">
        <f>CustomRates!M8</f>
        <v>0</v>
      </c>
      <c r="F64" s="101" t="str">
        <f t="shared" si="11"/>
        <v>0</v>
      </c>
    </row>
    <row r="65" spans="1:9" ht="20">
      <c r="A65" s="3"/>
      <c r="B65" s="108" t="str">
        <f>CustomRates!B9</f>
        <v>Fertilizer - Anhydrous Applicator (Rent)</v>
      </c>
      <c r="C65" s="32" t="str">
        <f>CustomRates!C9</f>
        <v>acre</v>
      </c>
      <c r="D65" s="100">
        <f>CustomRates!M9</f>
        <v>7</v>
      </c>
      <c r="E65" s="74">
        <f>CustomRates!M10</f>
        <v>0</v>
      </c>
      <c r="F65" s="101" t="str">
        <f t="shared" si="11"/>
        <v>0</v>
      </c>
    </row>
    <row r="66" spans="1:9" ht="20">
      <c r="A66" s="3"/>
      <c r="B66" s="108" t="str">
        <f>CustomRates!B11</f>
        <v>Fertilizer Applicator</v>
      </c>
      <c r="C66" s="32" t="str">
        <f>CustomRates!C11</f>
        <v>acre</v>
      </c>
      <c r="D66" s="100">
        <f>CustomRates!M11</f>
        <v>2</v>
      </c>
      <c r="E66" s="74">
        <f>CustomRates!M12</f>
        <v>0</v>
      </c>
      <c r="F66" s="101" t="str">
        <f t="shared" si="11"/>
        <v>0</v>
      </c>
    </row>
    <row r="67" spans="1:9" ht="20">
      <c r="A67" s="3"/>
      <c r="B67" s="108" t="str">
        <f>CustomRates!B13</f>
        <v>26' Rental Shredder</v>
      </c>
      <c r="C67" s="32" t="str">
        <f>CustomRates!C13</f>
        <v>acre</v>
      </c>
      <c r="D67" s="100">
        <f>CustomRates!M13</f>
        <v>10</v>
      </c>
      <c r="E67" s="74">
        <f>CustomRates!M14</f>
        <v>0</v>
      </c>
      <c r="F67" s="101" t="str">
        <f t="shared" si="11"/>
        <v>0</v>
      </c>
    </row>
    <row r="68" spans="1:9" ht="20">
      <c r="A68" s="3"/>
      <c r="B68" s="108" t="str">
        <f>CustomRates!B15</f>
        <v>36' Ripper Shooter</v>
      </c>
      <c r="C68" s="32" t="str">
        <f>CustomRates!C15</f>
        <v>acre</v>
      </c>
      <c r="D68" s="100">
        <f>CustomRates!M15</f>
        <v>2.5</v>
      </c>
      <c r="E68" s="74">
        <f>CustomRates!M16</f>
        <v>0</v>
      </c>
      <c r="F68" s="101" t="str">
        <f t="shared" si="11"/>
        <v>0</v>
      </c>
    </row>
    <row r="69" spans="1:9" ht="20">
      <c r="A69" s="3"/>
      <c r="B69" s="108" t="str">
        <f>CustomRates!B17</f>
        <v>Custom self-propelled sprayer</v>
      </c>
      <c r="C69" s="32" t="str">
        <f>CustomRates!C17</f>
        <v>acre</v>
      </c>
      <c r="D69" s="100">
        <f>CustomRates!M17</f>
        <v>8</v>
      </c>
      <c r="E69" s="74">
        <f>CustomRates!M18</f>
        <v>0</v>
      </c>
      <c r="F69" s="101" t="str">
        <f t="shared" si="11"/>
        <v>0</v>
      </c>
    </row>
    <row r="70" spans="1:9" ht="20">
      <c r="A70" s="3"/>
      <c r="B70" s="108" t="str">
        <f>CustomRates!B19</f>
        <v>Additional Operation #8 (Custom)</v>
      </c>
      <c r="C70" s="32" t="str">
        <f>CustomRates!C19</f>
        <v>acre</v>
      </c>
      <c r="D70" s="100">
        <f>CustomRates!M19</f>
        <v>0</v>
      </c>
      <c r="E70" s="74">
        <f>CustomRates!M20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FieldApplications!$L$6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FieldApplications!$L$6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FieldApplications!$L$6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FieldApplications!$L$7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FieldApplications!$L$7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FieldApplications!$L$7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FieldApplications!$L$8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FieldApplications!$L$8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FieldApplications!$L$8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FieldApplications!$L$9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FieldApplications!$L$9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FieldApplications!$L$9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FieldApplications!$L$10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FieldApplications!$L$10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FieldApplications!$L$10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FieldApplications!$L$11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FieldApplications!$L$11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FieldApplications!$L$11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FieldApplications!$L$12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FieldApplications!$L$12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FieldApplications!$L$12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FieldApplications!$L$13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FieldApplications!$L$13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FieldApplications!$L$13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FieldApplications!$L$14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FieldApplications!$L$14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FieldApplications!$L$14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FieldApplications!$L$15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FieldApplications!$L$15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FieldApplications!$L$15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FieldApplications!$L$16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FieldApplications!$L$16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FieldApplications!$L$16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16.335856722905092</v>
      </c>
      <c r="I114" s="214">
        <f>SUM(I74:I113)</f>
        <v>16.284139365868228</v>
      </c>
    </row>
    <row r="115" spans="1:13" ht="20">
      <c r="A115" s="3"/>
      <c r="B115" s="72" t="str">
        <f>'Chem&amp;FertInputs&amp;CInsurance'!B73</f>
        <v>Crop Insurance</v>
      </c>
      <c r="C115" s="16" t="str">
        <f>'Chem&amp;FertInputs&amp;CInsurance'!D73</f>
        <v>acre</v>
      </c>
      <c r="D115" s="100">
        <f>'Chem&amp;FertInputs&amp;CInsurance'!O73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2.7862508013949401</v>
      </c>
      <c r="H116" s="40">
        <f>(SUM($F8:$F70)+$F115+SUM(H72:H113))*$D116</f>
        <v>2.7864928361452548</v>
      </c>
      <c r="I116" s="40">
        <f>(SUM($F8:$F70)+$F115+SUM(I72:I113))*$D116</f>
        <v>2.7839069682934117</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2.9621328832329956</v>
      </c>
      <c r="H117" s="40">
        <f>(SUM(F8:F70)+(F115+F116+H114))*((D117/12)*MachineAssumptions!D27)</f>
        <v>2.9623779434176889</v>
      </c>
      <c r="I117" s="40">
        <f>(SUM(F8:F70)+(F115+F116+I114))*((D117/12)*MachineAssumptions!D27)</f>
        <v>2.9597597522176979</v>
      </c>
      <c r="J117" s="40">
        <f>F73+F76+F79+F82+F85+F88+F91+F94+F97+F100+F103+F106+F109+F112</f>
        <v>7.9515238675255082</v>
      </c>
      <c r="K117" t="s">
        <v>4</v>
      </c>
    </row>
    <row r="118" spans="1:13" ht="20">
      <c r="A118" s="3"/>
      <c r="B118" s="9" t="s">
        <v>85</v>
      </c>
      <c r="C118" s="22"/>
      <c r="D118" s="124"/>
      <c r="E118" s="125"/>
      <c r="F118" s="126">
        <f>SUM(F8:F117)</f>
        <v>61.473399712526735</v>
      </c>
      <c r="J118" s="40">
        <f>F74+F77+F80+F83+F86+F89+F92+F95+F98+F101+F104+F107+F110+F113</f>
        <v>6.2383691469747848</v>
      </c>
      <c r="K118" t="s">
        <v>112</v>
      </c>
      <c r="L118" s="40">
        <f>H74+H77+H80+H83+H86+H89+H92+H95+H98+H101+H104+H107+H110+H113</f>
        <v>6.2432098419810744</v>
      </c>
      <c r="M118" s="40">
        <f>I74+I77+I80+I83+I86+I89+I92+I95+I98+I101+I104+I107+I110+I113</f>
        <v>6.1914924849442095</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8.0509384002405913</v>
      </c>
      <c r="I135" s="37">
        <f t="shared" si="18"/>
        <v>8.0510596844260842</v>
      </c>
    </row>
    <row r="136" spans="1:9" ht="20">
      <c r="A136" s="3"/>
      <c r="B136" s="5"/>
      <c r="C136" s="5"/>
      <c r="D136" s="10"/>
      <c r="E136" s="5"/>
      <c r="F136" s="97"/>
    </row>
    <row r="137" spans="1:9" ht="20">
      <c r="A137" s="3"/>
      <c r="B137" s="9" t="s">
        <v>31</v>
      </c>
      <c r="C137" s="22"/>
      <c r="D137" s="23"/>
      <c r="E137" s="22"/>
      <c r="F137" s="38">
        <f>F118+F135</f>
        <v>69.524459396952821</v>
      </c>
      <c r="H137" s="38">
        <f>SUM(F16:F70)+H114+F115+H116+H117+H135+F8+(H9*D9)+(H10*D10)+(H11*D11)+(H12*D12)+(H13*D13)+(H14*D14)+(H15*D15)</f>
        <v>69.529665902708629</v>
      </c>
      <c r="I137" s="38">
        <f>SUM(F16:F70)+I114+F115+I116+I117+I135+F8+(I9*D9)+(I10*D10)+(I11*D11)+(I12*D12)+(I13*D13)+(I14*D14)+(I15*D15)</f>
        <v>69.472865770805427</v>
      </c>
    </row>
    <row r="138" spans="1:9" ht="21">
      <c r="A138" s="3"/>
      <c r="B138" s="24" t="s">
        <v>32</v>
      </c>
      <c r="C138" s="25"/>
      <c r="D138" s="26"/>
      <c r="E138" s="25"/>
      <c r="F138" s="39">
        <f>F5-F137</f>
        <v>-69.524459396952821</v>
      </c>
      <c r="H138" s="215">
        <f>H5-H137</f>
        <v>-69.529665902708629</v>
      </c>
      <c r="I138" s="215">
        <f>I5-I137</f>
        <v>-69.472865770805427</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B62:E71 C14:D14 E121:G123 C13:D13 C9:D9 C10:D10 C11:D11 C12:D12 F14 B61:D61 C8:E8 B4:F7 B3:F3 B8 F8 B2 B73:B83 B72 D72:E72 D90:E113 D84:F89 D73:E83 B57:D57 B56:D56 B55:D55 B54:D54 B51:D51 B50:D50 B49:D49 B48:D48 B47:D47 B46:D46 B45:D45 B44:D44 B43:D43 B40:D40 B39:D39 B38:D38 B37:D37 B36:D36 B35:D35 B34:D34 B33:D33 B31:D31 B30:D30 B29:D29 B28:D28 B27:D27 B26:D26 B25:D25 B24:D24 B23:D23 B22:D22 B21:D21 B16:G20 B32:G32 E21:G21 E22:G22 E23:G23 E24:G24 E25:G25 E26:G26 E27:G27 E28:G28 E29:G29 E30:G30 E31:G31 B41:G42 E33:G33 E34:G34 E35:G35 E36:G36 E37:G37 E38:G38 E39:G39 E40:G40 B52:G53 E43:G43 E44:G44 E45:G45 E46:G46 E47:G47 E48:G48 E49:G49 E50:G50 E51:G51 B58:G59 E54:G54 E55:G55 E56:G56 E57:G57 E115 C15:G15 B9:B15" unlockedFormula="1"/>
    <ignoredError sqref="D127:D134 D121:D124"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F0AB-C7DF-824B-A731-830FA8E6ECDE}">
  <dimension ref="A1:L34"/>
  <sheetViews>
    <sheetView zoomScale="110" zoomScaleNormal="110" workbookViewId="0">
      <selection activeCell="B2" sqref="B2:G2"/>
    </sheetView>
  </sheetViews>
  <sheetFormatPr baseColWidth="10" defaultColWidth="10.83203125" defaultRowHeight="20"/>
  <cols>
    <col min="1" max="1" width="6.1640625" customWidth="1"/>
    <col min="2" max="2" width="40.33203125" style="2" bestFit="1" customWidth="1"/>
    <col min="3" max="4" width="18.83203125" style="2" customWidth="1"/>
    <col min="5" max="5" width="12.83203125" style="2" customWidth="1"/>
    <col min="6" max="6" width="18.83203125" style="2" customWidth="1"/>
    <col min="7" max="7" width="12.83203125" style="2" customWidth="1"/>
  </cols>
  <sheetData>
    <row r="1" spans="1:12">
      <c r="A1" s="3"/>
      <c r="B1" s="5"/>
      <c r="C1" s="5"/>
      <c r="D1" s="5"/>
      <c r="E1" s="5"/>
      <c r="F1" s="5"/>
      <c r="G1" s="5"/>
      <c r="H1" s="3"/>
      <c r="I1" s="3"/>
      <c r="J1" s="3"/>
      <c r="K1" s="3"/>
      <c r="L1" s="3"/>
    </row>
    <row r="2" spans="1:12">
      <c r="A2" s="3"/>
      <c r="B2" s="588" t="s">
        <v>307</v>
      </c>
      <c r="C2" s="589"/>
      <c r="D2" s="589"/>
      <c r="E2" s="589"/>
      <c r="F2" s="589"/>
      <c r="G2" s="590"/>
      <c r="H2" s="578"/>
      <c r="I2" s="578"/>
      <c r="J2" s="578"/>
      <c r="K2" s="3"/>
      <c r="L2" s="3"/>
    </row>
    <row r="3" spans="1:12" ht="21" customHeight="1">
      <c r="A3" s="3"/>
      <c r="B3" s="591"/>
      <c r="C3" s="593" t="str">
        <f>'Farm and Rotation Setup'!B5</f>
        <v>Business As Usual</v>
      </c>
      <c r="D3" s="595" t="str">
        <f>'Farm and Rotation Setup'!B14</f>
        <v>Incremental Rotation</v>
      </c>
      <c r="E3" s="596"/>
      <c r="F3" s="599" t="str">
        <f>'Farm and Rotation Setup'!B23</f>
        <v>Aspirational Rotation</v>
      </c>
      <c r="G3" s="600"/>
      <c r="H3" s="578"/>
      <c r="I3" s="578"/>
      <c r="J3" s="578"/>
      <c r="K3" s="3"/>
      <c r="L3" s="3"/>
    </row>
    <row r="4" spans="1:12" ht="25" customHeight="1">
      <c r="A4" s="3"/>
      <c r="B4" s="592"/>
      <c r="C4" s="594"/>
      <c r="D4" s="597"/>
      <c r="E4" s="598"/>
      <c r="F4" s="601"/>
      <c r="G4" s="602"/>
      <c r="H4" s="3"/>
      <c r="I4" s="3"/>
      <c r="J4" s="3"/>
      <c r="K4" s="3"/>
      <c r="L4" s="3"/>
    </row>
    <row r="5" spans="1:12" ht="24">
      <c r="A5" s="3"/>
      <c r="B5" s="414" t="s">
        <v>391</v>
      </c>
      <c r="C5" s="415" t="s">
        <v>8</v>
      </c>
      <c r="D5" s="507" t="s">
        <v>8</v>
      </c>
      <c r="E5" s="508" t="s">
        <v>99</v>
      </c>
      <c r="F5" s="518" t="s">
        <v>8</v>
      </c>
      <c r="G5" s="519" t="s">
        <v>99</v>
      </c>
      <c r="H5" s="3"/>
      <c r="I5" s="3"/>
      <c r="J5" s="3"/>
      <c r="K5" s="3"/>
      <c r="L5" s="3"/>
    </row>
    <row r="6" spans="1:12">
      <c r="A6" s="3"/>
      <c r="B6" s="243" t="s">
        <v>129</v>
      </c>
      <c r="C6" s="376">
        <f>'Farm and Rotation Setup'!$P$3</f>
        <v>777869.16675909888</v>
      </c>
      <c r="D6" s="509">
        <f>'Farm and Rotation Setup'!$P$16</f>
        <v>1562003.3401488895</v>
      </c>
      <c r="E6" s="510">
        <f>IF(C6=0,0,(D6-C6)/C6)</f>
        <v>1.0080540621719127</v>
      </c>
      <c r="F6" s="520">
        <f>'Farm and Rotation Setup'!$P$29</f>
        <v>844932.40872073709</v>
      </c>
      <c r="G6" s="521">
        <f>IF(C6=0,0,(F6-C6)/C6)</f>
        <v>8.6214038076672175E-2</v>
      </c>
      <c r="H6" s="3"/>
      <c r="I6" s="3"/>
      <c r="J6" s="3"/>
      <c r="K6" s="3"/>
      <c r="L6" s="3"/>
    </row>
    <row r="7" spans="1:12">
      <c r="A7" s="3"/>
      <c r="B7" s="244" t="s">
        <v>134</v>
      </c>
      <c r="C7" s="245">
        <f>'Farm and Rotation Setup'!$P4</f>
        <v>160000</v>
      </c>
      <c r="D7" s="511">
        <f>'Farm and Rotation Setup'!$P17</f>
        <v>263750</v>
      </c>
      <c r="E7" s="512">
        <f>IF(C7=0,0,(D7-C7)/C7)</f>
        <v>0.6484375</v>
      </c>
      <c r="F7" s="522">
        <f>'Farm and Rotation Setup'!$P30</f>
        <v>235125</v>
      </c>
      <c r="G7" s="523">
        <f>IF(C7=0,0,(F7-C7)/C7)</f>
        <v>0.46953125000000001</v>
      </c>
      <c r="H7" s="3"/>
      <c r="I7" s="3"/>
      <c r="J7" s="3"/>
      <c r="K7" s="3"/>
      <c r="L7" s="3"/>
    </row>
    <row r="8" spans="1:12">
      <c r="A8" s="3"/>
      <c r="B8" s="243" t="s">
        <v>127</v>
      </c>
      <c r="C8" s="245">
        <f>'Farm and Rotation Setup'!$P5</f>
        <v>140.12656250000001</v>
      </c>
      <c r="D8" s="511">
        <f>'Farm and Rotation Setup'!$P18</f>
        <v>180.27041015624997</v>
      </c>
      <c r="E8" s="512">
        <f t="shared" ref="E8:E12" si="0">IF(C8=0,0,(D8-C8)/C8)</f>
        <v>0.28648278342123717</v>
      </c>
      <c r="F8" s="522">
        <f>'Farm and Rotation Setup'!$P31</f>
        <v>79.842480468749997</v>
      </c>
      <c r="G8" s="523">
        <f t="shared" ref="G8:G12" si="1">IF(C8=0,0,(F8-C8)/C8)</f>
        <v>-0.43021166690826379</v>
      </c>
      <c r="H8" s="3"/>
      <c r="I8" s="3"/>
      <c r="J8" s="3"/>
      <c r="K8" s="3"/>
      <c r="L8" s="3"/>
    </row>
    <row r="9" spans="1:12">
      <c r="A9" s="3"/>
      <c r="B9" s="243" t="s">
        <v>130</v>
      </c>
      <c r="C9" s="245">
        <f>'Farm and Rotation Setup'!$P6</f>
        <v>1399.609375</v>
      </c>
      <c r="D9" s="511">
        <f>'Farm and Rotation Setup'!$P19</f>
        <v>1412.5</v>
      </c>
      <c r="E9" s="512">
        <f t="shared" si="0"/>
        <v>9.210159084566006E-3</v>
      </c>
      <c r="F9" s="522">
        <f>'Farm and Rotation Setup'!$P32</f>
        <v>1179.6875</v>
      </c>
      <c r="G9" s="523">
        <f t="shared" si="1"/>
        <v>-0.15713089589729276</v>
      </c>
      <c r="H9" s="3"/>
      <c r="I9" s="3"/>
      <c r="J9" s="3"/>
      <c r="K9" s="3"/>
      <c r="L9" s="3"/>
    </row>
    <row r="10" spans="1:12">
      <c r="A10" s="3"/>
      <c r="B10" s="243" t="s">
        <v>291</v>
      </c>
      <c r="C10" s="245">
        <f>'Farm and Rotation Setup'!$P7</f>
        <v>2004.4710032124131</v>
      </c>
      <c r="D10" s="511">
        <f>'Farm and Rotation Setup'!$P20</f>
        <v>2010.3561536107013</v>
      </c>
      <c r="E10" s="512">
        <f t="shared" si="0"/>
        <v>2.9360117401831098E-3</v>
      </c>
      <c r="F10" s="522">
        <f>'Farm and Rotation Setup'!$P33</f>
        <v>1474.0055746138726</v>
      </c>
      <c r="G10" s="523">
        <f t="shared" si="1"/>
        <v>-0.2646411086757573</v>
      </c>
      <c r="H10" s="3"/>
      <c r="I10" s="3"/>
      <c r="J10" s="3"/>
      <c r="K10" s="3"/>
      <c r="L10" s="3"/>
    </row>
    <row r="11" spans="1:12">
      <c r="A11" s="3"/>
      <c r="B11" s="243" t="s">
        <v>292</v>
      </c>
      <c r="C11" s="245">
        <f>'Farm and Rotation Setup'!$P8</f>
        <v>93901.115229963441</v>
      </c>
      <c r="D11" s="511">
        <f>'Farm and Rotation Setup'!$P21</f>
        <v>94352.310093832188</v>
      </c>
      <c r="E11" s="512">
        <f t="shared" si="0"/>
        <v>4.8050000552578315E-3</v>
      </c>
      <c r="F11" s="522">
        <f>'Farm and Rotation Setup'!P34</f>
        <v>70972.511779428547</v>
      </c>
      <c r="G11" s="523">
        <f t="shared" si="1"/>
        <v>-0.24417818035901745</v>
      </c>
      <c r="H11" s="3"/>
      <c r="I11" s="3"/>
      <c r="J11" s="3"/>
      <c r="K11" s="3"/>
      <c r="L11" s="3"/>
    </row>
    <row r="12" spans="1:12">
      <c r="A12" s="3"/>
      <c r="B12" s="243" t="s">
        <v>289</v>
      </c>
      <c r="C12" s="246">
        <f>'Farm and Rotation Setup'!$P9</f>
        <v>44282.181267280386</v>
      </c>
      <c r="D12" s="513">
        <f>'Farm and Rotation Setup'!$P22</f>
        <v>44441.766178734033</v>
      </c>
      <c r="E12" s="512">
        <f t="shared" si="0"/>
        <v>3.6038177634118108E-3</v>
      </c>
      <c r="F12" s="524">
        <f>'Farm and Rotation Setup'!$P59</f>
        <v>30571.634204096503</v>
      </c>
      <c r="G12" s="523">
        <f t="shared" si="1"/>
        <v>-0.30961769883080387</v>
      </c>
      <c r="H12" s="3"/>
      <c r="I12" s="3"/>
      <c r="J12" s="3"/>
      <c r="K12" s="3"/>
      <c r="L12" s="3"/>
    </row>
    <row r="13" spans="1:12">
      <c r="A13" s="3"/>
      <c r="B13" s="247" t="s">
        <v>290</v>
      </c>
      <c r="C13" s="362">
        <f>'Farm and Rotation Setup'!$P$10</f>
        <v>59698.207110050265</v>
      </c>
      <c r="D13" s="514">
        <f>'Farm and Rotation Setup'!$P$23</f>
        <v>59899.611090268561</v>
      </c>
      <c r="E13" s="515">
        <f>IF(C13=0,0,(D13-C13)/C13)</f>
        <v>3.3737023265542837E-3</v>
      </c>
      <c r="F13" s="525">
        <f>'Farm and Rotation Setup'!P60</f>
        <v>47503.38647545375</v>
      </c>
      <c r="G13" s="526">
        <f>IF(C13=0,0,(F13-C13)/C13)</f>
        <v>-0.20427448703972054</v>
      </c>
      <c r="H13" s="3"/>
      <c r="I13" s="3"/>
      <c r="J13" s="3"/>
      <c r="K13" s="3"/>
      <c r="L13" s="3"/>
    </row>
    <row r="14" spans="1:12">
      <c r="A14" s="3"/>
      <c r="B14" s="243" t="s">
        <v>293</v>
      </c>
      <c r="C14" s="377">
        <f>SUM('Farm and Rotation Setup'!JB5:JC9)+SUM('Farm and Rotation Setup'!JM5:JN9)</f>
        <v>90000</v>
      </c>
      <c r="D14" s="516">
        <f>SUM('Farm and Rotation Setup'!JB14:JC18)+SUM('Farm and Rotation Setup'!JM14:JN18)</f>
        <v>103500</v>
      </c>
      <c r="E14" s="512">
        <f>IF(C14=0,0,(D14-C14)/C14)</f>
        <v>0.15</v>
      </c>
      <c r="F14" s="527">
        <f>SUM('Farm and Rotation Setup'!JB19:JC27)+SUM('Farm and Rotation Setup'!JM19:JN27)</f>
        <v>94000</v>
      </c>
      <c r="G14" s="523">
        <f>IF(C14=0,0,(F14-C14)/C14)</f>
        <v>4.4444444444444446E-2</v>
      </c>
      <c r="H14" s="3"/>
      <c r="I14" s="3"/>
      <c r="J14" s="3"/>
      <c r="K14" s="3"/>
      <c r="L14" s="3"/>
    </row>
    <row r="15" spans="1:12">
      <c r="A15" s="3"/>
      <c r="B15" s="243" t="s">
        <v>294</v>
      </c>
      <c r="C15" s="377">
        <f>SUM('Farm and Rotation Setup'!JD5:JF9)</f>
        <v>0</v>
      </c>
      <c r="D15" s="516">
        <f>SUM('Farm and Rotation Setup'!JD14:JF18)</f>
        <v>69750</v>
      </c>
      <c r="E15" s="512">
        <f>IF(C15=0,0,(D15-C15)/C15)</f>
        <v>0</v>
      </c>
      <c r="F15" s="527">
        <f>SUM('Farm and Rotation Setup'!JD19:JF27)</f>
        <v>0</v>
      </c>
      <c r="G15" s="523">
        <f>IF(C15=0,0,(F15-C15)/C15)</f>
        <v>0</v>
      </c>
      <c r="H15" s="3"/>
      <c r="I15" s="3"/>
      <c r="J15" s="3"/>
      <c r="K15" s="3"/>
      <c r="L15" s="3"/>
    </row>
    <row r="16" spans="1:12">
      <c r="A16" s="3"/>
      <c r="B16" s="243" t="s">
        <v>302</v>
      </c>
      <c r="C16" s="377">
        <f>SUM('Farm and Rotation Setup'!JU5:JU9)</f>
        <v>0</v>
      </c>
      <c r="D16" s="516">
        <f>SUM('Farm and Rotation Setup'!JU14:JU18)</f>
        <v>0</v>
      </c>
      <c r="E16" s="512">
        <f t="shared" ref="E16:E21" si="2">IF(C16=0,0,(D16-C16)/C16)</f>
        <v>0</v>
      </c>
      <c r="F16" s="527">
        <f>SUM('Farm and Rotation Setup'!JU19:JU27)</f>
        <v>0</v>
      </c>
      <c r="G16" s="523">
        <f t="shared" ref="G16:G21" si="3">IF(C16=0,0,(F16-C16)/C16)</f>
        <v>0</v>
      </c>
      <c r="H16" s="3"/>
      <c r="I16" s="3"/>
      <c r="J16" s="3"/>
      <c r="K16" s="3"/>
      <c r="L16" s="3"/>
    </row>
    <row r="17" spans="1:12">
      <c r="A17" s="3"/>
      <c r="B17" s="243" t="s">
        <v>295</v>
      </c>
      <c r="C17" s="377">
        <f>SUM('Farm and Rotation Setup'!JV5:JV9)</f>
        <v>0</v>
      </c>
      <c r="D17" s="516">
        <f>SUM('Farm and Rotation Setup'!JV14:JV18)</f>
        <v>0</v>
      </c>
      <c r="E17" s="512">
        <f t="shared" si="2"/>
        <v>0</v>
      </c>
      <c r="F17" s="527">
        <f>SUM('Farm and Rotation Setup'!JV19:JV27)</f>
        <v>0</v>
      </c>
      <c r="G17" s="523">
        <f t="shared" si="3"/>
        <v>0</v>
      </c>
      <c r="H17" s="3"/>
      <c r="I17" s="3"/>
      <c r="J17" s="3"/>
      <c r="K17" s="3"/>
      <c r="L17" s="3"/>
    </row>
    <row r="18" spans="1:12">
      <c r="A18" s="3"/>
      <c r="B18" s="243" t="s">
        <v>296</v>
      </c>
      <c r="C18" s="377">
        <f>SUM('Farm and Rotation Setup'!JQ5:JQ9)</f>
        <v>0</v>
      </c>
      <c r="D18" s="516">
        <f>SUM('Farm and Rotation Setup'!JQ14:JQ18)</f>
        <v>0</v>
      </c>
      <c r="E18" s="512">
        <f t="shared" si="2"/>
        <v>0</v>
      </c>
      <c r="F18" s="527">
        <f>SUM('Farm and Rotation Setup'!JQ19:JQ27)</f>
        <v>0</v>
      </c>
      <c r="G18" s="523">
        <f t="shared" si="3"/>
        <v>0</v>
      </c>
      <c r="H18" s="3"/>
      <c r="I18" s="3"/>
      <c r="J18" s="3"/>
      <c r="K18" s="3"/>
      <c r="L18" s="3"/>
    </row>
    <row r="19" spans="1:12">
      <c r="A19" s="3"/>
      <c r="B19" s="243" t="s">
        <v>297</v>
      </c>
      <c r="C19" s="377">
        <f>SUM('Farm and Rotation Setup'!JI5:JI9)+SUM('Farm and Rotation Setup'!JW5:JW9)</f>
        <v>0</v>
      </c>
      <c r="D19" s="516">
        <f>SUM('Farm and Rotation Setup'!JI14:JI18)+SUM('Farm and Rotation Setup'!JW14:JW18)</f>
        <v>500000</v>
      </c>
      <c r="E19" s="512">
        <f t="shared" si="2"/>
        <v>0</v>
      </c>
      <c r="F19" s="527">
        <f>SUM('Farm and Rotation Setup'!JI19:JI27)+SUM('Farm and Rotation Setup'!JW19:JW27)</f>
        <v>0</v>
      </c>
      <c r="G19" s="523">
        <f t="shared" si="3"/>
        <v>0</v>
      </c>
      <c r="H19" s="3"/>
      <c r="I19" s="3"/>
      <c r="J19" s="3"/>
      <c r="K19" s="3"/>
      <c r="L19" s="3"/>
    </row>
    <row r="20" spans="1:12">
      <c r="A20" s="3"/>
      <c r="B20" s="243" t="s">
        <v>298</v>
      </c>
      <c r="C20" s="377">
        <f>SUM('Farm and Rotation Setup'!JG5:JH9)</f>
        <v>700000</v>
      </c>
      <c r="D20" s="516">
        <f>SUM('Farm and Rotation Setup'!JG14:JH18)</f>
        <v>0</v>
      </c>
      <c r="E20" s="512">
        <f t="shared" si="2"/>
        <v>-1</v>
      </c>
      <c r="F20" s="527">
        <f>SUM('Farm and Rotation Setup'!JG19:JH27)</f>
        <v>1050000</v>
      </c>
      <c r="G20" s="523">
        <f t="shared" si="3"/>
        <v>0.5</v>
      </c>
      <c r="H20" s="3"/>
      <c r="I20" s="3"/>
      <c r="J20" s="3"/>
      <c r="K20" s="3"/>
      <c r="L20" s="3"/>
    </row>
    <row r="21" spans="1:12">
      <c r="A21" s="3"/>
      <c r="B21" s="243" t="s">
        <v>299</v>
      </c>
      <c r="C21" s="377">
        <f>SUM('Farm and Rotation Setup'!JR5:JS9)+SUM('Farm and Rotation Setup'!JX5:JX9)</f>
        <v>2000000</v>
      </c>
      <c r="D21" s="516">
        <f>SUM('Farm and Rotation Setup'!JR14:JS18)+SUM('Farm and Rotation Setup'!JX14:JX18)</f>
        <v>0</v>
      </c>
      <c r="E21" s="512">
        <f t="shared" si="2"/>
        <v>-1</v>
      </c>
      <c r="F21" s="527">
        <f>SUM('Farm and Rotation Setup'!JR19:JS27)+SUM('Farm and Rotation Setup'!JX19:JX27)</f>
        <v>0</v>
      </c>
      <c r="G21" s="523">
        <f t="shared" si="3"/>
        <v>-1</v>
      </c>
      <c r="H21" s="3"/>
      <c r="I21" s="3"/>
      <c r="J21" s="3"/>
      <c r="K21" s="3"/>
      <c r="L21" s="3"/>
    </row>
    <row r="22" spans="1:12">
      <c r="A22" s="3"/>
      <c r="B22" s="247" t="s">
        <v>303</v>
      </c>
      <c r="C22" s="378">
        <f>SUM('Farm and Rotation Setup'!JT5:JT9)</f>
        <v>0</v>
      </c>
      <c r="D22" s="517">
        <f>SUM('Farm and Rotation Setup'!JT14:JT18)</f>
        <v>0</v>
      </c>
      <c r="E22" s="515">
        <f>IF(C22=0,0,(D22-C22)/C22)</f>
        <v>0</v>
      </c>
      <c r="F22" s="528">
        <f>SUM('Farm and Rotation Setup'!JT17:JT27)</f>
        <v>0</v>
      </c>
      <c r="G22" s="526">
        <f>IF(C22=0,0,(F22-C22)/C22)</f>
        <v>0</v>
      </c>
      <c r="H22" s="3"/>
      <c r="I22" s="3"/>
      <c r="J22" s="3"/>
      <c r="K22" s="3"/>
      <c r="L22" s="3"/>
    </row>
    <row r="23" spans="1:12" ht="20" customHeight="1">
      <c r="A23" s="3"/>
      <c r="B23" s="586" t="s">
        <v>392</v>
      </c>
      <c r="C23" s="586"/>
      <c r="D23" s="586"/>
      <c r="E23" s="586"/>
      <c r="F23" s="586"/>
      <c r="G23" s="586"/>
      <c r="H23" s="3"/>
      <c r="I23" s="3"/>
      <c r="J23" s="3"/>
      <c r="K23" s="3"/>
      <c r="L23" s="3"/>
    </row>
    <row r="24" spans="1:12" ht="20" customHeight="1">
      <c r="A24" s="3"/>
      <c r="B24" s="587"/>
      <c r="C24" s="587"/>
      <c r="D24" s="587"/>
      <c r="E24" s="587"/>
      <c r="F24" s="587"/>
      <c r="G24" s="587"/>
      <c r="H24" s="3"/>
      <c r="I24" s="3"/>
      <c r="J24" s="3"/>
      <c r="K24" s="3"/>
      <c r="L24" s="3"/>
    </row>
    <row r="25" spans="1:12">
      <c r="A25" s="3"/>
      <c r="B25" s="5"/>
      <c r="C25" s="5"/>
      <c r="D25" s="5"/>
      <c r="E25" s="5"/>
      <c r="F25" s="5"/>
      <c r="G25" s="5"/>
      <c r="H25" s="3"/>
      <c r="I25" s="3"/>
      <c r="J25" s="3"/>
      <c r="K25" s="3"/>
      <c r="L25" s="3"/>
    </row>
    <row r="26" spans="1:12">
      <c r="A26" s="3"/>
      <c r="B26" s="5"/>
      <c r="C26" s="5"/>
      <c r="D26" s="5"/>
      <c r="E26" s="5"/>
      <c r="F26" s="5"/>
      <c r="G26" s="5"/>
      <c r="H26" s="3"/>
      <c r="I26" s="3"/>
      <c r="J26" s="3"/>
      <c r="K26" s="3"/>
      <c r="L26" s="3"/>
    </row>
    <row r="27" spans="1:12">
      <c r="A27" s="3"/>
      <c r="B27" s="5"/>
      <c r="C27" s="5"/>
      <c r="D27" s="5"/>
      <c r="E27" s="5"/>
      <c r="F27" s="5"/>
      <c r="G27" s="5"/>
      <c r="H27" s="3"/>
      <c r="I27" s="3"/>
      <c r="J27" s="3"/>
      <c r="K27" s="3"/>
      <c r="L27" s="3"/>
    </row>
    <row r="28" spans="1:12">
      <c r="A28" s="3"/>
      <c r="B28" s="5"/>
      <c r="C28" s="5"/>
      <c r="D28" s="5"/>
      <c r="E28" s="5"/>
      <c r="F28" s="5"/>
      <c r="G28" s="5"/>
      <c r="H28" s="3"/>
      <c r="I28" s="3"/>
      <c r="J28" s="3"/>
      <c r="K28" s="3"/>
      <c r="L28" s="3"/>
    </row>
    <row r="29" spans="1:12">
      <c r="A29" s="3"/>
      <c r="B29" s="5"/>
      <c r="C29" s="5"/>
      <c r="D29" s="5"/>
      <c r="E29" s="5"/>
      <c r="F29" s="5"/>
      <c r="G29" s="5"/>
      <c r="H29" s="3"/>
      <c r="I29" s="3"/>
      <c r="J29" s="3"/>
      <c r="K29" s="3"/>
      <c r="L29" s="3"/>
    </row>
    <row r="30" spans="1:12">
      <c r="A30" s="3"/>
      <c r="B30" s="5"/>
      <c r="C30" s="5"/>
      <c r="D30" s="5"/>
      <c r="E30" s="5"/>
      <c r="F30" s="5"/>
      <c r="G30" s="5"/>
      <c r="H30" s="3"/>
      <c r="I30" s="3"/>
      <c r="J30" s="3"/>
      <c r="K30" s="3"/>
      <c r="L30" s="3"/>
    </row>
    <row r="31" spans="1:12">
      <c r="A31" s="3"/>
      <c r="B31" s="5"/>
      <c r="C31" s="5"/>
      <c r="D31" s="5"/>
      <c r="E31" s="5"/>
      <c r="F31" s="5"/>
      <c r="G31" s="5"/>
      <c r="H31" s="3"/>
      <c r="I31" s="3"/>
      <c r="J31" s="3"/>
      <c r="K31" s="3"/>
      <c r="L31" s="3"/>
    </row>
    <row r="32" spans="1:12">
      <c r="A32" s="3"/>
      <c r="B32" s="5"/>
      <c r="C32" s="5"/>
      <c r="D32" s="5"/>
      <c r="E32" s="5"/>
      <c r="F32" s="5"/>
      <c r="G32" s="5"/>
      <c r="H32" s="3"/>
      <c r="I32" s="3"/>
      <c r="J32" s="3"/>
      <c r="K32" s="3"/>
      <c r="L32" s="3"/>
    </row>
    <row r="33" spans="1:12">
      <c r="A33" s="3"/>
      <c r="B33" s="5"/>
      <c r="C33" s="5"/>
      <c r="D33" s="5"/>
      <c r="E33" s="5"/>
      <c r="F33" s="5"/>
      <c r="G33" s="5"/>
      <c r="H33" s="3"/>
      <c r="I33" s="3"/>
      <c r="J33" s="3"/>
      <c r="K33" s="3"/>
      <c r="L33" s="3"/>
    </row>
    <row r="34" spans="1:12">
      <c r="A34" s="3"/>
      <c r="B34" s="5"/>
      <c r="C34" s="5"/>
      <c r="D34" s="5"/>
      <c r="E34" s="5"/>
      <c r="F34" s="5"/>
      <c r="G34" s="5"/>
      <c r="H34" s="3"/>
      <c r="I34" s="3"/>
      <c r="J34" s="3"/>
      <c r="K34" s="3"/>
      <c r="L34" s="3"/>
    </row>
  </sheetData>
  <sheetProtection algorithmName="SHA-512" hashValue="mJKWczQtjcrEUISdhEfnIeppRHSZyuzWruA/guSH5B+0T4GKmOXsUpbme3XAYbAWX72wbfVozU8fBNlzzTYF8w==" saltValue="LHlUNl4v9yb/f3C91Ai8mQ==" spinCount="100000" sheet="1" objects="1" scenarios="1"/>
  <mergeCells count="6">
    <mergeCell ref="B23:G24"/>
    <mergeCell ref="B2:G2"/>
    <mergeCell ref="B3:B4"/>
    <mergeCell ref="C3:C4"/>
    <mergeCell ref="D3:E4"/>
    <mergeCell ref="F3:G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C7A1-E188-C44E-9EE4-B40FA6EC4E36}">
  <sheetPr codeName="Sheet15">
    <pageSetUpPr fitToPage="1"/>
  </sheetPr>
  <dimension ref="A1:AG143"/>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1" width="0" hidden="1" customWidth="1"/>
  </cols>
  <sheetData>
    <row r="1" spans="1:33" ht="20">
      <c r="A1" s="302" t="s">
        <v>8</v>
      </c>
      <c r="B1" s="20"/>
      <c r="C1" s="5"/>
      <c r="D1" s="10"/>
      <c r="E1" s="5"/>
      <c r="F1" s="5"/>
    </row>
    <row r="2" spans="1:33" ht="20">
      <c r="A2" s="3"/>
      <c r="B2" s="709" t="str">
        <f>'Prices_Yields&amp;SeedInputs'!B15&amp;", Cash Costs and Returns of Producing, $/acre."</f>
        <v>Livestock Grazing, Cash Costs and Returns of Producing, $/acre.</v>
      </c>
      <c r="C2" s="709"/>
      <c r="D2" s="709"/>
      <c r="E2" s="709"/>
      <c r="F2" s="709"/>
    </row>
    <row r="3" spans="1:33" ht="20.5" customHeight="1">
      <c r="A3" s="3"/>
      <c r="B3" s="21" t="s">
        <v>11</v>
      </c>
      <c r="C3" s="17" t="s">
        <v>2</v>
      </c>
      <c r="D3" s="18" t="s">
        <v>12</v>
      </c>
      <c r="E3" s="19" t="s">
        <v>13</v>
      </c>
      <c r="F3" s="19" t="s">
        <v>0</v>
      </c>
      <c r="H3" t="str">
        <f>'Prices_Yields&amp;SeedInputs'!F3</f>
        <v>Incremental Rotation</v>
      </c>
      <c r="I3" t="str">
        <f>'Prices_Yields&amp;SeedInputs'!G3</f>
        <v>Aspirational Rotation</v>
      </c>
      <c r="AF3" s="579"/>
      <c r="AG3" s="579"/>
    </row>
    <row r="4" spans="1:33" ht="20.5" customHeight="1">
      <c r="A4" s="3"/>
      <c r="B4" s="110" t="str">
        <f>'Prices_Yields&amp;SeedInputs'!B15</f>
        <v>Livestock Grazing</v>
      </c>
      <c r="C4" s="15" t="str">
        <f>'Prices_Yields&amp;SeedInputs'!C15</f>
        <v>AUM</v>
      </c>
      <c r="D4" s="10">
        <f>'Prices_Yields&amp;SeedInputs'!D15</f>
        <v>120</v>
      </c>
      <c r="E4" s="77">
        <f>'Prices_Yields&amp;SeedInputs'!E15</f>
        <v>1</v>
      </c>
      <c r="F4" s="28">
        <f>D4*E4</f>
        <v>120</v>
      </c>
      <c r="AF4" s="579"/>
      <c r="AG4" s="579"/>
    </row>
    <row r="5" spans="1:33" ht="20.5" customHeight="1">
      <c r="A5" s="3"/>
      <c r="B5" s="9" t="s">
        <v>14</v>
      </c>
      <c r="C5" s="22"/>
      <c r="D5" s="23"/>
      <c r="E5" s="22"/>
      <c r="F5" s="37">
        <f>SUM(F4:F4)</f>
        <v>120</v>
      </c>
      <c r="H5">
        <f>D4*'Prices_Yields&amp;SeedInputs'!F15</f>
        <v>120</v>
      </c>
      <c r="I5">
        <f>D4*'Prices_Yields&amp;SeedInputs'!G15</f>
        <v>120</v>
      </c>
      <c r="AF5" s="579"/>
      <c r="AG5" s="579"/>
    </row>
    <row r="6" spans="1:33" ht="20.5" customHeight="1">
      <c r="A6" s="3"/>
      <c r="B6" s="5"/>
      <c r="C6" s="5"/>
      <c r="D6" s="10"/>
      <c r="E6" s="5"/>
      <c r="F6" s="35"/>
    </row>
    <row r="7" spans="1:33" ht="20">
      <c r="A7" s="3"/>
      <c r="B7" s="115" t="s">
        <v>37</v>
      </c>
      <c r="C7" s="12" t="s">
        <v>2</v>
      </c>
      <c r="D7" s="13" t="s">
        <v>12</v>
      </c>
      <c r="E7" s="14" t="s">
        <v>13</v>
      </c>
      <c r="F7" s="36" t="s">
        <v>0</v>
      </c>
    </row>
    <row r="8" spans="1:33" ht="20">
      <c r="A8" s="3"/>
      <c r="B8" s="11" t="s">
        <v>166</v>
      </c>
      <c r="C8" s="16"/>
      <c r="D8" s="75"/>
      <c r="E8" s="158"/>
      <c r="F8" s="33">
        <f>LivestockImprovements!F26</f>
        <v>29.425138461538459</v>
      </c>
    </row>
    <row r="9" spans="1:33" ht="20">
      <c r="A9" s="3"/>
      <c r="B9" s="72" t="str">
        <f>'Chem&amp;FertInputs&amp;CInsurance'!B6</f>
        <v>Fertilizer - Nitrogen-</v>
      </c>
      <c r="C9" s="16" t="str">
        <f>'Chem&amp;FertInputs&amp;CInsurance'!D6</f>
        <v>pound</v>
      </c>
      <c r="D9" s="100">
        <f>'Chem&amp;FertInputs&amp;CInsurance'!E6</f>
        <v>0.48749999999999999</v>
      </c>
      <c r="E9" s="154">
        <f>'Chem&amp;FertInputs&amp;CInsurance'!P6</f>
        <v>0</v>
      </c>
      <c r="F9" s="155" t="str">
        <f t="shared" ref="F9:F62" si="0">IF(D9*E9=0,"0",D9*E9)</f>
        <v>0</v>
      </c>
      <c r="H9">
        <f>'Chem&amp;FertInputs&amp;CInsurance'!P7</f>
        <v>0</v>
      </c>
      <c r="I9">
        <f>'Chem&amp;FertInputs&amp;CInsurance'!P8</f>
        <v>0</v>
      </c>
    </row>
    <row r="10" spans="1:33" ht="20">
      <c r="A10" s="3"/>
      <c r="B10" s="72" t="str">
        <f>'Chem&amp;FertInputs&amp;CInsurance'!B9</f>
        <v>Fertilizer - Anhydrous Ammonia-</v>
      </c>
      <c r="C10" s="16" t="str">
        <f>'Chem&amp;FertInputs&amp;CInsurance'!D9</f>
        <v>pound</v>
      </c>
      <c r="D10" s="100">
        <f>'Chem&amp;FertInputs&amp;CInsurance'!E9</f>
        <v>0.75770000000000004</v>
      </c>
      <c r="E10" s="116">
        <f>'Chem&amp;FertInputs&amp;CInsurance'!P9</f>
        <v>0</v>
      </c>
      <c r="F10" s="101" t="str">
        <f t="shared" si="0"/>
        <v>0</v>
      </c>
      <c r="H10">
        <f>'Chem&amp;FertInputs&amp;CInsurance'!P10</f>
        <v>0</v>
      </c>
      <c r="I10">
        <f>'Chem&amp;FertInputs&amp;CInsurance'!P11</f>
        <v>0</v>
      </c>
    </row>
    <row r="11" spans="1:33"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'Chem&amp;FertInputs&amp;CInsurance'!P12</f>
        <v>0</v>
      </c>
      <c r="F11" s="101" t="str">
        <f t="shared" si="0"/>
        <v>0</v>
      </c>
      <c r="H11">
        <f>'Chem&amp;FertInputs&amp;CInsurance'!P13</f>
        <v>0</v>
      </c>
      <c r="I11">
        <f>'Chem&amp;FertInputs&amp;CInsurance'!P14</f>
        <v>0</v>
      </c>
    </row>
    <row r="12" spans="1:33" ht="20">
      <c r="A12" s="3"/>
      <c r="B12" s="72" t="str">
        <f>'Chem&amp;FertInputs&amp;CInsurance'!B15</f>
        <v>Fertilizer - Potassium-</v>
      </c>
      <c r="C12" s="16" t="str">
        <f>'Chem&amp;FertInputs&amp;CInsurance'!D15</f>
        <v>pound</v>
      </c>
      <c r="D12" s="100">
        <f>'Chem&amp;FertInputs&amp;CInsurance'!E15</f>
        <v>0.441</v>
      </c>
      <c r="E12" s="116">
        <f>'Chem&amp;FertInputs&amp;CInsurance'!P15</f>
        <v>0</v>
      </c>
      <c r="F12" s="101" t="str">
        <f t="shared" si="0"/>
        <v>0</v>
      </c>
      <c r="H12">
        <f>'Chem&amp;FertInputs&amp;CInsurance'!P16</f>
        <v>0</v>
      </c>
      <c r="I12">
        <f>'Chem&amp;FertInputs&amp;CInsurance'!P17</f>
        <v>0</v>
      </c>
    </row>
    <row r="13" spans="1:33" ht="20">
      <c r="A13" s="3"/>
      <c r="B13" s="72" t="str">
        <f>'Chem&amp;FertInputs&amp;CInsurance'!B18</f>
        <v>Fertilizer - Sulfur-</v>
      </c>
      <c r="C13" s="16" t="str">
        <f>'Chem&amp;FertInputs&amp;CInsurance'!D18</f>
        <v>pound</v>
      </c>
      <c r="D13" s="100">
        <f>'Chem&amp;FertInputs&amp;CInsurance'!E18</f>
        <v>0.2555</v>
      </c>
      <c r="E13" s="116">
        <f>'Chem&amp;FertInputs&amp;CInsurance'!P18</f>
        <v>0</v>
      </c>
      <c r="F13" s="101" t="str">
        <f t="shared" si="0"/>
        <v>0</v>
      </c>
      <c r="H13">
        <f>'Chem&amp;FertInputs&amp;CInsurance'!P19</f>
        <v>0</v>
      </c>
      <c r="I13">
        <f>'Chem&amp;FertInputs&amp;CInsurance'!P20</f>
        <v>0</v>
      </c>
    </row>
    <row r="14" spans="1:33" ht="20">
      <c r="A14" s="3"/>
      <c r="B14" s="72" t="str">
        <f>'Chem&amp;FertInputs&amp;CInsurance'!B21</f>
        <v>Adjuvant - Ammonium Sulfate liquid-</v>
      </c>
      <c r="C14" s="16" t="str">
        <f>'Chem&amp;FertInputs&amp;CInsurance'!D21</f>
        <v>pound</v>
      </c>
      <c r="D14" s="100">
        <f>'Chem&amp;FertInputs&amp;CInsurance'!E21</f>
        <v>0.48</v>
      </c>
      <c r="E14" s="116">
        <f>'Chem&amp;FertInputs&amp;CInsurance'!P21</f>
        <v>0</v>
      </c>
      <c r="F14" s="101" t="str">
        <f t="shared" ref="F14:F20" si="1">IF(D14*E14=0,"0",D14*E14)</f>
        <v>0</v>
      </c>
      <c r="G14" s="146">
        <f>E14/128</f>
        <v>0</v>
      </c>
      <c r="H14">
        <f>'Chem&amp;FertInputs&amp;CInsurance'!P22</f>
        <v>0</v>
      </c>
      <c r="I14">
        <f>'Chem&amp;FertInputs&amp;CInsurance'!P23</f>
        <v>0</v>
      </c>
    </row>
    <row r="15" spans="1:33" ht="20">
      <c r="A15" s="3"/>
      <c r="B15" s="72" t="str">
        <f>'Chem&amp;FertInputs&amp;CInsurance'!B24</f>
        <v>Adjuvant - Ammonium Sulfate  (other)-</v>
      </c>
      <c r="C15" s="16" t="str">
        <f>'Chem&amp;FertInputs&amp;CInsurance'!D24</f>
        <v>pound</v>
      </c>
      <c r="D15" s="100">
        <f>'Chem&amp;FertInputs&amp;CInsurance'!E24</f>
        <v>0.71</v>
      </c>
      <c r="E15" s="116">
        <f>'Chem&amp;FertInputs&amp;CInsurance'!P24</f>
        <v>0</v>
      </c>
      <c r="F15" s="101" t="str">
        <f t="shared" si="1"/>
        <v>0</v>
      </c>
      <c r="G15" s="146">
        <f>E15/16</f>
        <v>0</v>
      </c>
      <c r="H15">
        <f>'Chem&amp;FertInputs&amp;CInsurance'!P25</f>
        <v>0</v>
      </c>
      <c r="I15">
        <f>'Chem&amp;FertInputs&amp;CInsurance'!P26</f>
        <v>0</v>
      </c>
    </row>
    <row r="16" spans="1:33"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'Chem&amp;FertInputs&amp;CInsurance'!P27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'Chem&amp;FertInputs&amp;CInsurance'!P28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'Chem&amp;FertInputs&amp;CInsurance'!P29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'Chem&amp;FertInputs&amp;CInsurance'!P30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'Chem&amp;FertInputs&amp;CInsurance'!P31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'Chem&amp;FertInputs&amp;CInsurance'!P33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'Chem&amp;FertInputs&amp;CInsurance'!P34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'Chem&amp;FertInputs&amp;CInsurance'!P35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'Chem&amp;FertInputs&amp;CInsurance'!P36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'Chem&amp;FertInputs&amp;CInsurance'!P37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'Chem&amp;FertInputs&amp;CInsurance'!P38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'Chem&amp;FertInputs&amp;CInsurance'!P39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'Chem&amp;FertInputs&amp;CInsurance'!P40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'Chem&amp;FertInputs&amp;CInsurance'!P41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'Chem&amp;FertInputs&amp;CInsurance'!P42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'Chem&amp;FertInputs&amp;CInsurance'!P43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'Chem&amp;FertInputs&amp;CInsurance'!P44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'Chem&amp;FertInputs&amp;CInsurance'!P45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'Chem&amp;FertInputs&amp;CInsurance'!P46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'Chem&amp;FertInputs&amp;CInsurance'!P47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'Chem&amp;FertInputs&amp;CInsurance'!P48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'Chem&amp;FertInputs&amp;CInsurance'!P49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'Chem&amp;FertInputs&amp;CInsurance'!P50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'Chem&amp;FertInputs&amp;CInsurance'!P51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'Chem&amp;FertInputs&amp;CInsurance'!P52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'Chem&amp;FertInputs&amp;CInsurance'!P53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'Chem&amp;FertInputs&amp;CInsurance'!P54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'Chem&amp;FertInputs&amp;CInsurance'!P55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'Chem&amp;FertInputs&amp;CInsurance'!P56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'Chem&amp;FertInputs&amp;CInsurance'!P57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'Chem&amp;FertInputs&amp;CInsurance'!P58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'Chem&amp;FertInputs&amp;CInsurance'!P59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'Chem&amp;FertInputs&amp;CInsurance'!P60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'Chem&amp;FertInputs&amp;CInsurance'!P61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'Chem&amp;FertInputs&amp;CInsurance'!P62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'Chem&amp;FertInputs&amp;CInsurance'!P63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'Chem&amp;FertInputs&amp;CInsurance'!P64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'Chem&amp;FertInputs&amp;CInsurance'!P65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'Chem&amp;FertInputs&amp;CInsurance'!P66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'Chem&amp;FertInputs&amp;CInsurance'!P67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'Chem&amp;FertInputs&amp;CInsurance'!P68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'Chem&amp;FertInputs&amp;CInsurance'!P69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'Chem&amp;FertInputs&amp;CInsurance'!P70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'Chem&amp;FertInputs&amp;CInsurance'!P71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'Chem&amp;FertInputs&amp;CInsurance'!P72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'Chem&amp;FertInputs&amp;CInsurance'!P32</f>
        <v>0</v>
      </c>
      <c r="F61" s="101" t="str">
        <f t="shared" si="0"/>
        <v>0</v>
      </c>
      <c r="G61" s="191">
        <f>E61/128</f>
        <v>0</v>
      </c>
    </row>
    <row r="62" spans="1:7" ht="20">
      <c r="A62" s="3"/>
      <c r="B62" s="122" t="s">
        <v>86</v>
      </c>
      <c r="C62" s="16"/>
      <c r="D62" s="100"/>
      <c r="E62" s="116"/>
      <c r="F62" s="101" t="str">
        <f t="shared" si="0"/>
        <v>0</v>
      </c>
      <c r="G62" s="146">
        <f>SUM(G14:G61)</f>
        <v>0</v>
      </c>
    </row>
    <row r="63" spans="1:7" ht="20">
      <c r="A63" s="3"/>
      <c r="B63" s="108" t="str">
        <f>CustomRates!B5</f>
        <v>Aerial (Custom)</v>
      </c>
      <c r="C63" s="32" t="str">
        <f>CustomRates!C5</f>
        <v>acre</v>
      </c>
      <c r="D63" s="100">
        <f>CustomRates!N5</f>
        <v>8.9499999999999993</v>
      </c>
      <c r="E63" s="74">
        <f>CustomRates!N6</f>
        <v>0</v>
      </c>
      <c r="F63" s="101"/>
    </row>
    <row r="64" spans="1:7" ht="20">
      <c r="A64" s="3"/>
      <c r="B64" s="108" t="str">
        <f>CustomRates!B7</f>
        <v>Sprayer (Rental 90')</v>
      </c>
      <c r="C64" s="32" t="str">
        <f>CustomRates!C7</f>
        <v>acre</v>
      </c>
      <c r="D64" s="100">
        <f>CustomRates!N7</f>
        <v>8</v>
      </c>
      <c r="E64" s="74">
        <f>CustomRates!N8</f>
        <v>0</v>
      </c>
      <c r="F64" s="101" t="str">
        <f t="shared" ref="F64:F70" si="11">IF(D64*E64=0,"0",D64*E64)</f>
        <v>0</v>
      </c>
    </row>
    <row r="65" spans="1:9" ht="20">
      <c r="A65" s="3"/>
      <c r="B65" s="108" t="str">
        <f>CustomRates!B9</f>
        <v>Fertilizer - Anhydrous Applicator (Rent)</v>
      </c>
      <c r="C65" s="32" t="str">
        <f>CustomRates!C9</f>
        <v>acre</v>
      </c>
      <c r="D65" s="100">
        <f>CustomRates!N9</f>
        <v>7</v>
      </c>
      <c r="E65" s="74">
        <f>CustomRates!N10</f>
        <v>0</v>
      </c>
      <c r="F65" s="101" t="str">
        <f t="shared" si="11"/>
        <v>0</v>
      </c>
    </row>
    <row r="66" spans="1:9" ht="20">
      <c r="A66" s="3"/>
      <c r="B66" s="108" t="str">
        <f>CustomRates!B11</f>
        <v>Fertilizer Applicator</v>
      </c>
      <c r="C66" s="32" t="str">
        <f>CustomRates!C11</f>
        <v>acre</v>
      </c>
      <c r="D66" s="100">
        <f>CustomRates!N11</f>
        <v>2</v>
      </c>
      <c r="E66" s="74">
        <f>CustomRates!N12</f>
        <v>0</v>
      </c>
      <c r="F66" s="101" t="str">
        <f t="shared" si="11"/>
        <v>0</v>
      </c>
    </row>
    <row r="67" spans="1:9" ht="20">
      <c r="A67" s="3"/>
      <c r="B67" s="108" t="str">
        <f>CustomRates!B13</f>
        <v>26' Rental Shredder</v>
      </c>
      <c r="C67" s="32" t="str">
        <f>CustomRates!C13</f>
        <v>acre</v>
      </c>
      <c r="D67" s="100">
        <f>CustomRates!N13</f>
        <v>10</v>
      </c>
      <c r="E67" s="74">
        <f>CustomRates!N14</f>
        <v>0</v>
      </c>
      <c r="F67" s="101" t="str">
        <f t="shared" si="11"/>
        <v>0</v>
      </c>
    </row>
    <row r="68" spans="1:9" ht="20">
      <c r="A68" s="3"/>
      <c r="B68" s="108" t="str">
        <f>CustomRates!B15</f>
        <v>36' Ripper Shooter</v>
      </c>
      <c r="C68" s="32" t="str">
        <f>CustomRates!C15</f>
        <v>acre</v>
      </c>
      <c r="D68" s="100">
        <f>CustomRates!N15</f>
        <v>2.5</v>
      </c>
      <c r="E68" s="74">
        <f>CustomRates!N16</f>
        <v>0</v>
      </c>
      <c r="F68" s="101" t="str">
        <f t="shared" si="11"/>
        <v>0</v>
      </c>
    </row>
    <row r="69" spans="1:9" ht="20">
      <c r="A69" s="3"/>
      <c r="B69" s="108" t="str">
        <f>CustomRates!B17</f>
        <v>Custom self-propelled sprayer</v>
      </c>
      <c r="C69" s="32" t="str">
        <f>CustomRates!C17</f>
        <v>acre</v>
      </c>
      <c r="D69" s="100">
        <f>CustomRates!N17</f>
        <v>8</v>
      </c>
      <c r="E69" s="74">
        <f>CustomRates!N18</f>
        <v>0</v>
      </c>
      <c r="F69" s="101" t="str">
        <f t="shared" si="11"/>
        <v>0</v>
      </c>
    </row>
    <row r="70" spans="1:9" ht="20">
      <c r="A70" s="3"/>
      <c r="B70" s="108" t="str">
        <f>CustomRates!B19</f>
        <v>Additional Operation #8 (Custom)</v>
      </c>
      <c r="C70" s="32" t="str">
        <f>CustomRates!C19</f>
        <v>acre</v>
      </c>
      <c r="D70" s="100">
        <f>CustomRates!N19</f>
        <v>0</v>
      </c>
      <c r="E70" s="74">
        <f>CustomRates!N20</f>
        <v>0</v>
      </c>
      <c r="F70" s="101" t="str">
        <f t="shared" si="11"/>
        <v>0</v>
      </c>
    </row>
    <row r="71" spans="1:9" ht="20">
      <c r="A71" s="3"/>
      <c r="B71" s="122" t="s">
        <v>87</v>
      </c>
      <c r="C71" s="32"/>
      <c r="D71" s="100"/>
      <c r="E71" s="100"/>
      <c r="F71" s="159" t="s">
        <v>8</v>
      </c>
      <c r="H71" t="s">
        <v>203</v>
      </c>
      <c r="I71" t="s">
        <v>135</v>
      </c>
    </row>
    <row r="72" spans="1:9" ht="20">
      <c r="A72" s="3"/>
      <c r="B72" s="72" t="str">
        <f>MachineAssumptions!B7&amp;" - Labor"</f>
        <v>Shredder - Labor</v>
      </c>
      <c r="C72" s="32" t="s">
        <v>245</v>
      </c>
      <c r="D72" s="100">
        <f>MachineAssumptions!$R$7</f>
        <v>1.4996591683708247</v>
      </c>
      <c r="E72" s="74">
        <f>FieldApplications!$M$6</f>
        <v>0</v>
      </c>
      <c r="F72" s="101"/>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FieldApplications!$M$6</f>
        <v>0</v>
      </c>
      <c r="F73" s="101" t="str">
        <f t="shared" ref="F73:F113" si="12">IF(D73*E73=0,"0",D73*E73)</f>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FieldApplications!$M$6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FieldApplications!$M$7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FieldApplications!$M$7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FieldApplications!$M$7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FieldApplications!$M$8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FieldApplications!$M$8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FieldApplications!$M$8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FieldApplications!$M$9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FieldApplications!$M$9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FieldApplications!$M$9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FieldApplications!$M$10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FieldApplications!$M$10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FieldApplications!$M$10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FieldApplications!$M$11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FieldApplications!$M$11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FieldApplications!$M$11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FieldApplications!$M$12</f>
        <v>0</v>
      </c>
      <c r="F90" s="101" t="str">
        <f t="shared" si="12"/>
        <v>0</v>
      </c>
      <c r="H90" s="211">
        <f>MachineAssumptions!$R$34*E90</f>
        <v>0</v>
      </c>
      <c r="I90" s="147">
        <f>MachineAssumptions!$R$54*E90</f>
        <v>0</v>
      </c>
    </row>
    <row r="91" spans="1:9" ht="20">
      <c r="A91" s="3"/>
      <c r="B91" s="72" t="str">
        <f>MachineAssumptions!B13&amp;" - Fuel, Lube"</f>
        <v>Drill - Fuel, Lube</v>
      </c>
      <c r="C91" s="32" t="s">
        <v>245</v>
      </c>
      <c r="D91" s="100">
        <f>MachineAssumptions!$S$13</f>
        <v>6.146744412050535</v>
      </c>
      <c r="E91" s="74">
        <f>FieldApplications!$M$12</f>
        <v>0</v>
      </c>
      <c r="F91" s="101" t="str">
        <f t="shared" si="12"/>
        <v>0</v>
      </c>
      <c r="H91" s="211">
        <f>MachineAssumptions!$S$34*E91</f>
        <v>0</v>
      </c>
      <c r="I91" s="147">
        <f>MachineAssumptions!$S$54*E91</f>
        <v>0</v>
      </c>
    </row>
    <row r="92" spans="1:9" ht="20">
      <c r="A92" s="3"/>
      <c r="B92" s="72" t="str">
        <f>MachineAssumptions!B13&amp;" - Repairs"</f>
        <v>Drill - Repairs</v>
      </c>
      <c r="C92" s="32" t="s">
        <v>245</v>
      </c>
      <c r="D92" s="100">
        <f>MachineAssumptions!$T$13</f>
        <v>5.740409656342587</v>
      </c>
      <c r="E92" s="74">
        <f>FieldApplications!$M$12</f>
        <v>0</v>
      </c>
      <c r="F92" s="101" t="str">
        <f t="shared" si="12"/>
        <v>0</v>
      </c>
      <c r="H92" s="211">
        <f>MachineAssumptions!$T$34*E92</f>
        <v>0</v>
      </c>
      <c r="I92" s="147">
        <f>MachineAssumptions!$T$54*E92</f>
        <v>0</v>
      </c>
    </row>
    <row r="93" spans="1:9" ht="20">
      <c r="A93" s="3"/>
      <c r="B93" s="72" t="str">
        <f>MachineAssumptions!B14&amp;" - Labor"</f>
        <v>Combine w/ 36' header - Labor</v>
      </c>
      <c r="C93" s="32" t="s">
        <v>245</v>
      </c>
      <c r="D93" s="100">
        <f>MachineAssumptions!$R$14</f>
        <v>1.9161092530657748</v>
      </c>
      <c r="E93" s="74">
        <f>FieldApplications!$M$13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FieldApplications!$M$13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FieldApplications!$M$13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FieldApplications!$M$14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FieldApplications!$M$14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FieldApplications!$M$14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FieldApplications!$M$15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FieldApplications!$M$15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FieldApplications!$M$15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FieldApplications!$M$16</f>
        <v>0</v>
      </c>
      <c r="F102" s="101" t="str">
        <f t="shared" si="12"/>
        <v>0</v>
      </c>
      <c r="H102" s="211">
        <f>MachineAssumptions!$R$38*E102</f>
        <v>0</v>
      </c>
      <c r="I102" s="147">
        <f>MachineAssumptions!$R$58*E102</f>
        <v>0</v>
      </c>
    </row>
    <row r="103" spans="1:9" ht="20">
      <c r="A103" s="3"/>
      <c r="B103" s="72" t="str">
        <f>MachineAssumptions!B18&amp;" - Fuel, Lube"</f>
        <v>Boom sprayer - Fuel, Lube</v>
      </c>
      <c r="C103" s="32" t="s">
        <v>245</v>
      </c>
      <c r="D103" s="100">
        <f>MachineAssumptions!$S$18</f>
        <v>1.8047794554749732</v>
      </c>
      <c r="E103" s="74">
        <f>FieldApplications!$M$16</f>
        <v>0</v>
      </c>
      <c r="F103" s="101" t="str">
        <f t="shared" si="12"/>
        <v>0</v>
      </c>
      <c r="H103" s="211">
        <f>MachineAssumptions!$S$38*E103</f>
        <v>0</v>
      </c>
      <c r="I103" s="147">
        <f>MachineAssumptions!$S$58*E103</f>
        <v>0</v>
      </c>
    </row>
    <row r="104" spans="1:9" ht="20">
      <c r="A104" s="3"/>
      <c r="B104" s="72" t="str">
        <f>MachineAssumptions!B18&amp;" - Repairs"</f>
        <v>Boom sprayer - Repairs</v>
      </c>
      <c r="C104" s="32" t="s">
        <v>245</v>
      </c>
      <c r="D104" s="100">
        <f>MachineAssumptions!$T$18</f>
        <v>0.49795949063219769</v>
      </c>
      <c r="E104" s="74">
        <f>FieldApplications!$M$16</f>
        <v>0</v>
      </c>
      <c r="F104" s="101" t="str">
        <f t="shared" si="12"/>
        <v>0</v>
      </c>
      <c r="H104" s="211">
        <f>MachineAssumptions!$T$38*E104</f>
        <v>0</v>
      </c>
      <c r="I104" s="147">
        <f>MachineAssumptions!$T$58*E104</f>
        <v>0</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59" t="s">
        <v>8</v>
      </c>
      <c r="H114" s="214">
        <f>SUM(H74:H113)</f>
        <v>0</v>
      </c>
      <c r="I114" s="214">
        <f>SUM(I74:I113)</f>
        <v>0</v>
      </c>
    </row>
    <row r="115" spans="1:13" ht="20">
      <c r="A115" s="3"/>
      <c r="B115" s="72" t="str">
        <f>'Chem&amp;FertInputs&amp;CInsurance'!B73</f>
        <v>Crop Insurance</v>
      </c>
      <c r="C115" s="16" t="str">
        <f>'Chem&amp;FertInputs&amp;CInsurance'!D73</f>
        <v>acre</v>
      </c>
      <c r="D115" s="100">
        <f>'Chem&amp;FertInputs&amp;CInsurance'!P73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1.471256923076923</v>
      </c>
      <c r="H116" s="40">
        <f>(SUM($F8:$F70)+$F115+SUM(H72:H113))*$D116</f>
        <v>1.471256923076923</v>
      </c>
      <c r="I116" s="40">
        <f>(SUM($F8:$F70)+$F115+SUM(I72:I113))*$D116</f>
        <v>1.471256923076923</v>
      </c>
      <c r="J116" s="40">
        <f>F72+F75+F78+F81+F84+F87+F90+F93+F96+F99+F102+F105+F108+F111</f>
        <v>0</v>
      </c>
      <c r="K116" t="s">
        <v>111</v>
      </c>
    </row>
    <row r="117" spans="1:13" ht="20">
      <c r="A117" s="3"/>
      <c r="B117" s="72" t="s">
        <v>84</v>
      </c>
      <c r="C117" s="32" t="s">
        <v>83</v>
      </c>
      <c r="D117" s="95">
        <f>MachineAssumptions!D26</f>
        <v>6.7500000000000004E-2</v>
      </c>
      <c r="E117" s="96"/>
      <c r="F117" s="102">
        <f>SUM(F8:F116)*(D117/12*MachineAssumptions!D27)</f>
        <v>1.5641300163461538</v>
      </c>
      <c r="H117" s="40">
        <f>(SUM(F8:F70)+(F115+F116+H114))*((D117/12)*MachineAssumptions!D27)</f>
        <v>1.5641300163461538</v>
      </c>
      <c r="I117" s="40">
        <f>(SUM(F8:F70)+(F115+F116+I114))*((D117/12)*MachineAssumptions!D27)</f>
        <v>1.5641300163461538</v>
      </c>
      <c r="J117" s="40">
        <f>F73+F76+F79+F82+F85+F88+F91+F94+F97+F100+F103+F106+F109+F112</f>
        <v>0</v>
      </c>
      <c r="K117" t="s">
        <v>4</v>
      </c>
    </row>
    <row r="118" spans="1:13" ht="20">
      <c r="A118" s="3"/>
      <c r="B118" s="9" t="s">
        <v>85</v>
      </c>
      <c r="C118" s="22"/>
      <c r="D118" s="124"/>
      <c r="E118" s="125"/>
      <c r="F118" s="126">
        <f>SUM(F8:F117)</f>
        <v>32.460525400961536</v>
      </c>
      <c r="J118" s="40">
        <f>F74+F77+F80+F83+F86+F89+F92+F95+F98+F101+F104+F107+F110+F113</f>
        <v>0</v>
      </c>
      <c r="K118" t="s">
        <v>112</v>
      </c>
      <c r="L118" s="40">
        <f>H74+H77+H80+H83+H86+H89+H92+H95+H98+H101+H104+H107+H110+H113</f>
        <v>0</v>
      </c>
      <c r="M118" s="40">
        <f>I74+I77+I80+I83+I86+I89+I92+I95+I98+I101+I104+I107+I110+I113</f>
        <v>0</v>
      </c>
    </row>
    <row r="119" spans="1:13">
      <c r="A119" s="3"/>
      <c r="B119" s="97"/>
      <c r="C119" s="97"/>
      <c r="D119" s="97"/>
      <c r="E119" s="98"/>
      <c r="F119" s="99"/>
      <c r="H119" s="99"/>
      <c r="J119" s="40">
        <f>SUM(J116:J118)</f>
        <v>0</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0</v>
      </c>
      <c r="F131" s="33" t="str">
        <f t="shared" si="14"/>
        <v>0</v>
      </c>
      <c r="H131" s="147">
        <f>MachineAssumptions!U38*E131</f>
        <v>0</v>
      </c>
      <c r="I131" s="147">
        <f>MachineAssumptions!U58*E131</f>
        <v>0</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v>
      </c>
      <c r="H135" s="37">
        <f t="shared" ref="H135:I135" si="18">SUM(H121:H134)</f>
        <v>0</v>
      </c>
      <c r="I135" s="37">
        <f t="shared" si="18"/>
        <v>0</v>
      </c>
    </row>
    <row r="136" spans="1:9" ht="20">
      <c r="A136" s="3"/>
      <c r="B136" s="5"/>
      <c r="C136" s="5"/>
      <c r="D136" s="10"/>
      <c r="E136" s="5"/>
      <c r="F136" s="97"/>
    </row>
    <row r="137" spans="1:9" ht="20">
      <c r="A137" s="3"/>
      <c r="B137" s="9" t="s">
        <v>31</v>
      </c>
      <c r="C137" s="22"/>
      <c r="D137" s="23"/>
      <c r="E137" s="22"/>
      <c r="F137" s="38">
        <f>F118+F135</f>
        <v>32.460525400961536</v>
      </c>
      <c r="H137" s="38">
        <f>SUM(F16:F70)+H114+F115+H116+H117+H135+F8+(H9*D9)+(H10*D10)+(H11*D11)+(H12*D12)+(H13*D13)+(H14*D14)+(H15*D15)</f>
        <v>32.460525400961536</v>
      </c>
      <c r="I137" s="38">
        <f>SUM(F16:F70)+I114+F115+I116+I117+I135+F8+(I9*D9)+(I10*D10)+(I11*D11)+(I12*D12)+(I13*D13)+(I14*D14)+(I15*D15)</f>
        <v>32.460525400961536</v>
      </c>
    </row>
    <row r="138" spans="1:9" ht="21">
      <c r="A138" s="3"/>
      <c r="B138" s="24" t="s">
        <v>32</v>
      </c>
      <c r="C138" s="25"/>
      <c r="D138" s="26"/>
      <c r="E138" s="25"/>
      <c r="F138" s="39">
        <f>F5-F137</f>
        <v>87.539474599038471</v>
      </c>
      <c r="H138" s="215">
        <f>H5-H137</f>
        <v>87.539474599038471</v>
      </c>
      <c r="I138" s="215">
        <f>I5-I137</f>
        <v>87.539474599038471</v>
      </c>
    </row>
    <row r="139" spans="1:9">
      <c r="A139" s="3"/>
    </row>
    <row r="140" spans="1:9">
      <c r="A140" s="3"/>
    </row>
    <row r="141" spans="1:9">
      <c r="A141" s="3"/>
    </row>
    <row r="142" spans="1:9">
      <c r="A142" s="3"/>
    </row>
    <row r="143" spans="1:9">
      <c r="A143" s="3"/>
    </row>
  </sheetData>
  <mergeCells count="1">
    <mergeCell ref="B2:F2"/>
  </mergeCells>
  <pageMargins left="0.7" right="0.7" top="0.75" bottom="0.75" header="0.3" footer="0.3"/>
  <pageSetup scale="57" orientation="portrait" r:id="rId1"/>
  <ignoredErrors>
    <ignoredError sqref="B135:F138 B127:C134 E127:G134 B121:C124 B125:F126 C13:E13 B61:E71 C14:F14 E121:G124 B119:F120 B114:E118 B3:F3 B2 B72:B113 D90:E113 D84:F89 D72:E83 B4:F8 B54:E57 B42:E51 B33:E40 B21:E31 B60:E60 B16:G20 F60:G60 B32:G32 F21:G31 B41:G41 F33:G40 B52:G53 F42:G51 B58:G59 F54:G57 C9:E9 C10:E10 C11:E11 C12:E12 C15:G15 B9:B15" unlockedFormula="1"/>
    <ignoredError sqref="D127:D134 D121:D124" formula="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B84A-B24D-1B44-BC5C-91E819B1A3DC}">
  <sheetPr codeName="Sheet39">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'Prices_Yields&amp;SeedInputs'!B16&amp;", Cash Costs and Returns of Producing, $/acre."</f>
        <v>SW Winter Wheat after Cereal,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'Prices_Yields&amp;SeedInputs'!B16</f>
        <v>SW Winter Wheat after Cereal</v>
      </c>
      <c r="C4" s="15" t="str">
        <f>'Prices_Yields&amp;SeedInputs'!C16</f>
        <v>bu</v>
      </c>
      <c r="D4" s="112">
        <f>'Prices_Yields&amp;SeedInputs'!D16</f>
        <v>4.79</v>
      </c>
      <c r="E4" s="77">
        <f>'Prices_Yields&amp;SeedInputs'!E16</f>
        <v>90</v>
      </c>
      <c r="F4" s="28">
        <f>D4*E4</f>
        <v>431.1</v>
      </c>
      <c r="Q4" s="579"/>
      <c r="R4" s="579"/>
    </row>
    <row r="5" spans="1:18" ht="20.5" customHeight="1">
      <c r="A5" s="3"/>
      <c r="B5" s="9" t="s">
        <v>14</v>
      </c>
      <c r="C5" s="22"/>
      <c r="D5" s="23"/>
      <c r="E5" s="22"/>
      <c r="F5" s="37">
        <f>SUM(F4:F4)</f>
        <v>431.1</v>
      </c>
      <c r="H5">
        <f>D4*'Prices_Yields&amp;SeedInputs'!F16</f>
        <v>431.1</v>
      </c>
      <c r="I5">
        <f>D4*'Prices_Yields&amp;SeedInputs'!G16</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'Prices_Yields&amp;SeedInputs'!H16</f>
        <v>pound</v>
      </c>
      <c r="D8" s="73">
        <f>'Prices_Yields&amp;SeedInputs'!I16</f>
        <v>0.25</v>
      </c>
      <c r="E8" s="116">
        <f>'Prices_Yields&amp;SeedInputs'!J16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'Chem&amp;FertInputs&amp;CInsurance'!Q6</f>
        <v>93</v>
      </c>
      <c r="F9" s="101">
        <f t="shared" si="0"/>
        <v>45.337499999999999</v>
      </c>
      <c r="H9">
        <f>'Chem&amp;FertInputs&amp;CInsurance'!Q7</f>
        <v>93</v>
      </c>
      <c r="I9">
        <f>'Chem&amp;FertInputs&amp;CInsurance'!Q8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'Chem&amp;FertInputs&amp;CInsurance'!Q9</f>
        <v>0</v>
      </c>
      <c r="F10" s="101" t="str">
        <f t="shared" si="0"/>
        <v>0</v>
      </c>
      <c r="H10">
        <f>'Chem&amp;FertInputs&amp;CInsurance'!Q10</f>
        <v>0</v>
      </c>
      <c r="I10">
        <f>'Chem&amp;FertInputs&amp;CInsurance'!Q11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'Chem&amp;FertInputs&amp;CInsurance'!Q12</f>
        <v>23</v>
      </c>
      <c r="F11" s="101">
        <f t="shared" si="0"/>
        <v>10.924999999999999</v>
      </c>
      <c r="H11">
        <f>'Chem&amp;FertInputs&amp;CInsurance'!Q13</f>
        <v>23</v>
      </c>
      <c r="I11">
        <f>'Chem&amp;FertInputs&amp;CInsurance'!Q14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'Chem&amp;FertInputs&amp;CInsurance'!Q15</f>
        <v>30</v>
      </c>
      <c r="F12" s="101">
        <f t="shared" si="0"/>
        <v>13.23</v>
      </c>
      <c r="H12">
        <f>'Chem&amp;FertInputs&amp;CInsurance'!Q16</f>
        <v>30</v>
      </c>
      <c r="I12">
        <f>'Chem&amp;FertInputs&amp;CInsurance'!Q17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'Chem&amp;FertInputs&amp;CInsurance'!Q18</f>
        <v>9</v>
      </c>
      <c r="F13" s="101">
        <f t="shared" si="0"/>
        <v>2.2995000000000001</v>
      </c>
      <c r="H13">
        <f>'Chem&amp;FertInputs&amp;CInsurance'!Q19</f>
        <v>9</v>
      </c>
      <c r="I13">
        <f>'Chem&amp;FertInputs&amp;CInsurance'!Q20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'Chem&amp;FertInputs&amp;CInsurance'!Q21</f>
        <v>3.4</v>
      </c>
      <c r="F14" s="101">
        <f t="shared" ref="F14:F20" si="1">IF(D14*E14=0,"0",D14*E14)</f>
        <v>1.6319999999999999</v>
      </c>
      <c r="G14" s="146">
        <f>E14/128</f>
        <v>2.6562499999999999E-2</v>
      </c>
      <c r="H14">
        <f>'Chem&amp;FertInputs&amp;CInsurance'!Q22</f>
        <v>3.4</v>
      </c>
      <c r="I14">
        <f>'Chem&amp;FertInputs&amp;CInsurance'!Q23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'Chem&amp;FertInputs&amp;CInsurance'!Q24</f>
        <v>0</v>
      </c>
      <c r="F15" s="101" t="str">
        <f t="shared" si="1"/>
        <v>0</v>
      </c>
      <c r="G15" s="146">
        <f>E15/16</f>
        <v>0</v>
      </c>
      <c r="H15">
        <f>'Chem&amp;FertInputs&amp;CInsurance'!Q25</f>
        <v>0</v>
      </c>
      <c r="I15">
        <f>'Chem&amp;FertInputs&amp;CInsurance'!Q26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'Chem&amp;FertInputs&amp;CInsurance'!Q27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'Chem&amp;FertInputs&amp;CInsurance'!Q28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'Chem&amp;FertInputs&amp;CInsurance'!Q29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'Chem&amp;FertInputs&amp;CInsurance'!Q30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'Chem&amp;FertInputs&amp;CInsurance'!Q31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'Chem&amp;FertInputs&amp;CInsurance'!Q33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'Chem&amp;FertInputs&amp;CInsurance'!Q34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'Chem&amp;FertInputs&amp;CInsurance'!Q35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'Chem&amp;FertInputs&amp;CInsurance'!Q36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'Chem&amp;FertInputs&amp;CInsurance'!Q37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'Chem&amp;FertInputs&amp;CInsurance'!Q38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'Chem&amp;FertInputs&amp;CInsurance'!Q39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'Chem&amp;FertInputs&amp;CInsurance'!Q40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'Chem&amp;FertInputs&amp;CInsurance'!Q41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'Chem&amp;FertInputs&amp;CInsurance'!Q42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'Chem&amp;FertInputs&amp;CInsurance'!Q43</f>
        <v>0</v>
      </c>
      <c r="F31" s="101" t="str">
        <f t="shared" ref="F31" si="3">IF(D31*E31=0,"0",D31*E31)</f>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'Chem&amp;FertInputs&amp;CInsurance'!Q44</f>
        <v>0</v>
      </c>
      <c r="F32" s="101" t="str">
        <f t="shared" ref="F32" si="4">IF(D32*E32=0,"0",D32*E32)</f>
        <v>0</v>
      </c>
      <c r="G32" s="146">
        <f t="shared" ref="G32:G37" si="5">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'Chem&amp;FertInputs&amp;CInsurance'!Q45</f>
        <v>0</v>
      </c>
      <c r="F33" s="101" t="str">
        <f t="shared" si="0"/>
        <v>0</v>
      </c>
      <c r="G33" s="146">
        <f t="shared" si="5"/>
        <v>0</v>
      </c>
    </row>
    <row r="34" spans="1:7" ht="20">
      <c r="A34" s="3"/>
      <c r="B34" s="72" t="str">
        <f>'Chem&amp;FertInputs&amp;CInsurance'!C46</f>
        <v>FarGO</v>
      </c>
      <c r="C34" s="16" t="str">
        <f>'Chem&amp;FertInputs&amp;CInsurance'!D46</f>
        <v>oz</v>
      </c>
      <c r="D34" s="100">
        <f>'Chem&amp;FertInputs&amp;CInsurance'!E46</f>
        <v>19.158999999999999</v>
      </c>
      <c r="E34" s="116">
        <f>'Chem&amp;FertInputs&amp;CInsurance'!Q46</f>
        <v>0</v>
      </c>
      <c r="F34" s="101" t="str">
        <f t="shared" si="0"/>
        <v>0</v>
      </c>
      <c r="G34" s="146">
        <f t="shared" si="5"/>
        <v>0</v>
      </c>
    </row>
    <row r="35" spans="1:7" ht="20">
      <c r="A35" s="3"/>
      <c r="B35" s="72" t="str">
        <f>'Chem&amp;FertInputs&amp;CInsurance'!C47</f>
        <v>Finesse</v>
      </c>
      <c r="C35" s="16" t="str">
        <f>'Chem&amp;FertInputs&amp;CInsurance'!D47</f>
        <v>oz</v>
      </c>
      <c r="D35" s="100">
        <f>'Chem&amp;FertInputs&amp;CInsurance'!E47</f>
        <v>19.940999999999999</v>
      </c>
      <c r="E35" s="116">
        <f>'Chem&amp;FertInputs&amp;CInsurance'!Q47</f>
        <v>0</v>
      </c>
      <c r="F35" s="101" t="str">
        <f t="shared" si="0"/>
        <v>0</v>
      </c>
      <c r="G35" s="146">
        <f t="shared" si="5"/>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'Chem&amp;FertInputs&amp;CInsurance'!Q48</f>
        <v>0</v>
      </c>
      <c r="F36" s="101" t="str">
        <f t="shared" si="0"/>
        <v>0</v>
      </c>
      <c r="G36" s="146">
        <f t="shared" si="5"/>
        <v>0</v>
      </c>
    </row>
    <row r="37" spans="1:7" ht="20">
      <c r="A37" s="3"/>
      <c r="B37" s="72" t="str">
        <f>'Chem&amp;FertInputs&amp;CInsurance'!C49</f>
        <v>Huskie</v>
      </c>
      <c r="C37" s="16" t="str">
        <f>'Chem&amp;FertInputs&amp;CInsurance'!D49</f>
        <v>oz</v>
      </c>
      <c r="D37" s="100">
        <f>'Chem&amp;FertInputs&amp;CInsurance'!E49</f>
        <v>0.88549999999999995</v>
      </c>
      <c r="E37" s="116">
        <f>'Chem&amp;FertInputs&amp;CInsurance'!Q49</f>
        <v>13.7</v>
      </c>
      <c r="F37" s="101">
        <f t="shared" si="0"/>
        <v>12.131349999999999</v>
      </c>
      <c r="G37" s="146">
        <f t="shared" si="5"/>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'Chem&amp;FertInputs&amp;CInsurance'!Q50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'Chem&amp;FertInputs&amp;CInsurance'!Q51</f>
        <v>0</v>
      </c>
      <c r="F39" s="101" t="str">
        <f t="shared" si="0"/>
        <v>0</v>
      </c>
      <c r="G39" s="146">
        <f t="shared" ref="G39:G51" si="6">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'Chem&amp;FertInputs&amp;CInsurance'!Q52</f>
        <v>0</v>
      </c>
      <c r="F40" s="101" t="str">
        <f t="shared" si="0"/>
        <v>0</v>
      </c>
      <c r="G40" s="146">
        <f t="shared" si="6"/>
        <v>0</v>
      </c>
    </row>
    <row r="41" spans="1:7" ht="20">
      <c r="A41" s="3"/>
      <c r="B41" s="72" t="str">
        <f>'Chem&amp;FertInputs&amp;CInsurance'!C53</f>
        <v>Poast</v>
      </c>
      <c r="C41" s="16" t="str">
        <f>'Chem&amp;FertInputs&amp;CInsurance'!D53</f>
        <v>oz</v>
      </c>
      <c r="D41" s="100">
        <f>'Chem&amp;FertInputs&amp;CInsurance'!E53</f>
        <v>19.285499999999999</v>
      </c>
      <c r="E41" s="116">
        <f>'Chem&amp;FertInputs&amp;CInsurance'!Q53</f>
        <v>0</v>
      </c>
      <c r="F41" s="101" t="str">
        <f t="shared" ref="F41" si="7">IF(D41*E41=0,"0",D41*E41)</f>
        <v>0</v>
      </c>
      <c r="G41" s="146">
        <f t="shared" si="6"/>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'Chem&amp;FertInputs&amp;CInsurance'!Q54</f>
        <v>0</v>
      </c>
      <c r="F42" s="101" t="str">
        <f t="shared" si="0"/>
        <v>0</v>
      </c>
      <c r="G42" s="146">
        <f t="shared" si="6"/>
        <v>0</v>
      </c>
    </row>
    <row r="43" spans="1:7" ht="20">
      <c r="A43" s="3"/>
      <c r="B43" s="72" t="str">
        <f>'Chem&amp;FertInputs&amp;CInsurance'!C55</f>
        <v>Priaxor</v>
      </c>
      <c r="C43" s="16" t="str">
        <f>'Chem&amp;FertInputs&amp;CInsurance'!D55</f>
        <v>oz</v>
      </c>
      <c r="D43" s="100">
        <f>'Chem&amp;FertInputs&amp;CInsurance'!E55</f>
        <v>3.4269999999999996</v>
      </c>
      <c r="E43" s="116">
        <f>'Chem&amp;FertInputs&amp;CInsurance'!Q55</f>
        <v>0</v>
      </c>
      <c r="F43" s="101" t="str">
        <f t="shared" si="0"/>
        <v>0</v>
      </c>
      <c r="G43" s="146">
        <f t="shared" si="6"/>
        <v>0</v>
      </c>
    </row>
    <row r="44" spans="1:7" ht="20">
      <c r="A44" s="3"/>
      <c r="B44" s="72" t="str">
        <f>'Chem&amp;FertInputs&amp;CInsurance'!C56</f>
        <v>Prowl</v>
      </c>
      <c r="C44" s="16" t="str">
        <f>'Chem&amp;FertInputs&amp;CInsurance'!D56</f>
        <v>oz</v>
      </c>
      <c r="D44" s="100">
        <f>'Chem&amp;FertInputs&amp;CInsurance'!E56</f>
        <v>0.51749999999999996</v>
      </c>
      <c r="E44" s="116">
        <f>'Chem&amp;FertInputs&amp;CInsurance'!Q56</f>
        <v>0</v>
      </c>
      <c r="F44" s="101" t="str">
        <f t="shared" si="0"/>
        <v>0</v>
      </c>
      <c r="G44" s="146">
        <f t="shared" si="6"/>
        <v>0</v>
      </c>
    </row>
    <row r="45" spans="1:7" ht="20">
      <c r="A45" s="3"/>
      <c r="B45" s="72" t="str">
        <f>'Chem&amp;FertInputs&amp;CInsurance'!C57</f>
        <v>Pursuit</v>
      </c>
      <c r="C45" s="16" t="str">
        <f>'Chem&amp;FertInputs&amp;CInsurance'!D57</f>
        <v>oz</v>
      </c>
      <c r="D45" s="100">
        <f>'Chem&amp;FertInputs&amp;CInsurance'!E57</f>
        <v>4.0594999999999999</v>
      </c>
      <c r="E45" s="116">
        <f>'Chem&amp;FertInputs&amp;CInsurance'!Q57</f>
        <v>0</v>
      </c>
      <c r="F45" s="101" t="str">
        <f t="shared" si="0"/>
        <v>0</v>
      </c>
      <c r="G45" s="146">
        <f t="shared" si="6"/>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'Chem&amp;FertInputs&amp;CInsurance'!Q58</f>
        <v>0</v>
      </c>
      <c r="F46" s="101" t="str">
        <f t="shared" si="0"/>
        <v>0</v>
      </c>
      <c r="G46" s="146">
        <f t="shared" si="6"/>
        <v>0</v>
      </c>
    </row>
    <row r="47" spans="1:7" ht="20">
      <c r="A47" s="3"/>
      <c r="B47" s="72" t="str">
        <f>'Chem&amp;FertInputs&amp;CInsurance'!C59</f>
        <v>Quilt</v>
      </c>
      <c r="C47" s="16" t="str">
        <f>'Chem&amp;FertInputs&amp;CInsurance'!D59</f>
        <v>oz</v>
      </c>
      <c r="D47" s="100">
        <f>'Chem&amp;FertInputs&amp;CInsurance'!E59</f>
        <v>1.4834999999999998</v>
      </c>
      <c r="E47" s="116">
        <f>'Chem&amp;FertInputs&amp;CInsurance'!Q59</f>
        <v>0</v>
      </c>
      <c r="F47" s="101" t="str">
        <f t="shared" si="0"/>
        <v>0</v>
      </c>
      <c r="G47" s="146">
        <f t="shared" si="6"/>
        <v>0</v>
      </c>
    </row>
    <row r="48" spans="1:7" ht="20">
      <c r="A48" s="3"/>
      <c r="B48" s="72" t="str">
        <f>'Chem&amp;FertInputs&amp;CInsurance'!C60</f>
        <v>R11</v>
      </c>
      <c r="C48" s="16" t="str">
        <f>'Chem&amp;FertInputs&amp;CInsurance'!D60</f>
        <v>oz</v>
      </c>
      <c r="D48" s="100">
        <f>'Chem&amp;FertInputs&amp;CInsurance'!E60</f>
        <v>0.26450000000000001</v>
      </c>
      <c r="E48" s="116">
        <f>'Chem&amp;FertInputs&amp;CInsurance'!Q60</f>
        <v>0</v>
      </c>
      <c r="F48" s="101" t="str">
        <f t="shared" si="0"/>
        <v>0</v>
      </c>
      <c r="G48" s="146">
        <f t="shared" si="6"/>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'Chem&amp;FertInputs&amp;CInsurance'!Q61</f>
        <v>0</v>
      </c>
      <c r="F49" s="101" t="str">
        <f t="shared" si="0"/>
        <v>0</v>
      </c>
      <c r="G49" s="146">
        <f t="shared" si="6"/>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'Chem&amp;FertInputs&amp;CInsurance'!Q62</f>
        <v>0</v>
      </c>
      <c r="F50" s="101" t="str">
        <f t="shared" si="0"/>
        <v>0</v>
      </c>
      <c r="G50" s="146">
        <f t="shared" si="6"/>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'Chem&amp;FertInputs&amp;CInsurance'!Q63</f>
        <v>0</v>
      </c>
      <c r="F51" s="101" t="str">
        <f t="shared" si="0"/>
        <v>0</v>
      </c>
      <c r="G51" s="146">
        <f t="shared" si="6"/>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'Chem&amp;FertInputs&amp;CInsurance'!Q64</f>
        <v>4</v>
      </c>
      <c r="F52" s="101">
        <f t="shared" ref="F52:F53" si="8">IF(D52*E52=0,"0",D52*E52)</f>
        <v>3.5419999999999998</v>
      </c>
      <c r="G52" s="146">
        <f t="shared" ref="G52:G53" si="9">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'Chem&amp;FertInputs&amp;CInsurance'!Q65</f>
        <v>0</v>
      </c>
      <c r="F53" s="101" t="str">
        <f t="shared" si="8"/>
        <v>0</v>
      </c>
      <c r="G53" s="146">
        <f t="shared" si="9"/>
        <v>0</v>
      </c>
    </row>
    <row r="54" spans="1:11" ht="20">
      <c r="A54" s="3"/>
      <c r="B54" s="72" t="str">
        <f>'Chem&amp;FertInputs&amp;CInsurance'!C66</f>
        <v>Sharpen</v>
      </c>
      <c r="C54" s="16" t="str">
        <f>'Chem&amp;FertInputs&amp;CInsurance'!D66</f>
        <v>oz</v>
      </c>
      <c r="D54" s="100">
        <f>'Chem&amp;FertInputs&amp;CInsurance'!E66</f>
        <v>6.3134999999999994</v>
      </c>
      <c r="E54" s="116">
        <f>'Chem&amp;FertInputs&amp;CInsurance'!Q66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'Chem&amp;FertInputs&amp;CInsurance'!Q67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'Chem&amp;FertInputs&amp;CInsurance'!Q68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'Chem&amp;FertInputs&amp;CInsurance'!Q69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'Chem&amp;FertInputs&amp;CInsurance'!Q70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'Chem&amp;FertInputs&amp;CInsurance'!Q71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'Chem&amp;FertInputs&amp;CInsurance'!Q72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'Chem&amp;FertInputs&amp;CInsurance'!Q32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CustomRates!O5</f>
        <v>8.9499999999999993</v>
      </c>
      <c r="E63" s="74">
        <f>CustomRates!O6</f>
        <v>0</v>
      </c>
      <c r="F63" s="101" t="str">
        <f t="shared" ref="F63:F70" si="12">IF(D63*E63=0,"0",D63*E63)</f>
        <v>0</v>
      </c>
      <c r="G63" s="190" t="s">
        <v>8</v>
      </c>
      <c r="H63" s="190" t="s">
        <v>8</v>
      </c>
    </row>
    <row r="64" spans="1:11" ht="20">
      <c r="A64" s="3"/>
      <c r="B64" s="108" t="str">
        <f>CustomRates!B7</f>
        <v>Sprayer (Rental 90')</v>
      </c>
      <c r="C64" s="32" t="str">
        <f>CustomRates!C7</f>
        <v>acre</v>
      </c>
      <c r="D64" s="100">
        <f>CustomRates!O7</f>
        <v>8</v>
      </c>
      <c r="E64" s="74">
        <f>CustomRates!O8</f>
        <v>1</v>
      </c>
      <c r="F64" s="101">
        <f t="shared" si="12"/>
        <v>8</v>
      </c>
    </row>
    <row r="65" spans="1:9" ht="20">
      <c r="A65" s="3"/>
      <c r="B65" s="108" t="str">
        <f>CustomRates!B9</f>
        <v>Fertilizer - Anhydrous Applicator (Rent)</v>
      </c>
      <c r="C65" s="32" t="str">
        <f>CustomRates!C9</f>
        <v>acre</v>
      </c>
      <c r="D65" s="100">
        <f>CustomRates!O9</f>
        <v>7</v>
      </c>
      <c r="E65" s="74">
        <f>CustomRates!O10</f>
        <v>0</v>
      </c>
      <c r="F65" s="101" t="str">
        <f t="shared" si="12"/>
        <v>0</v>
      </c>
    </row>
    <row r="66" spans="1:9" ht="20">
      <c r="A66" s="3"/>
      <c r="B66" s="108" t="str">
        <f>CustomRates!B11</f>
        <v>Fertilizer Applicator</v>
      </c>
      <c r="C66" s="32" t="str">
        <f>CustomRates!C11</f>
        <v>acre</v>
      </c>
      <c r="D66" s="100">
        <f>CustomRates!O11</f>
        <v>2</v>
      </c>
      <c r="E66" s="74">
        <f>CustomRates!O12</f>
        <v>0</v>
      </c>
      <c r="F66" s="101" t="str">
        <f t="shared" si="12"/>
        <v>0</v>
      </c>
    </row>
    <row r="67" spans="1:9" ht="20">
      <c r="A67" s="3"/>
      <c r="B67" s="108" t="str">
        <f>CustomRates!B13</f>
        <v>26' Rental Shredder</v>
      </c>
      <c r="C67" s="32" t="str">
        <f>CustomRates!C13</f>
        <v>acre</v>
      </c>
      <c r="D67" s="100">
        <f>CustomRates!O13</f>
        <v>10</v>
      </c>
      <c r="E67" s="74">
        <f>CustomRates!O14</f>
        <v>0</v>
      </c>
      <c r="F67" s="101" t="str">
        <f t="shared" si="12"/>
        <v>0</v>
      </c>
    </row>
    <row r="68" spans="1:9" ht="20">
      <c r="A68" s="3"/>
      <c r="B68" s="108" t="str">
        <f>CustomRates!B15</f>
        <v>36' Ripper Shooter</v>
      </c>
      <c r="C68" s="32" t="str">
        <f>CustomRates!C15</f>
        <v>acre</v>
      </c>
      <c r="D68" s="100">
        <f>CustomRates!O15</f>
        <v>2.5</v>
      </c>
      <c r="E68" s="74">
        <f>CustomRates!O16</f>
        <v>0</v>
      </c>
      <c r="F68" s="101" t="str">
        <f t="shared" si="12"/>
        <v>0</v>
      </c>
    </row>
    <row r="69" spans="1:9" ht="20">
      <c r="A69" s="3"/>
      <c r="B69" s="108" t="str">
        <f>CustomRates!B17</f>
        <v>Custom self-propelled sprayer</v>
      </c>
      <c r="C69" s="32" t="str">
        <f>CustomRates!C17</f>
        <v>acre</v>
      </c>
      <c r="D69" s="100">
        <f>CustomRates!O17</f>
        <v>8</v>
      </c>
      <c r="E69" s="74">
        <f>CustomRates!O18</f>
        <v>0</v>
      </c>
      <c r="F69" s="101" t="str">
        <f t="shared" si="12"/>
        <v>0</v>
      </c>
    </row>
    <row r="70" spans="1:9" ht="20">
      <c r="A70" s="3"/>
      <c r="B70" s="108" t="str">
        <f>CustomRates!B19</f>
        <v>Additional Operation #8 (Custom)</v>
      </c>
      <c r="C70" s="32" t="str">
        <f>CustomRates!C19</f>
        <v>acre</v>
      </c>
      <c r="D70" s="100">
        <f>CustomRates!O19</f>
        <v>0</v>
      </c>
      <c r="E70" s="74">
        <f>CustomRates!O20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FieldApplications!$N$6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FieldApplications!$N$6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FieldApplications!$N$6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FieldApplications!$N$7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FieldApplications!$N$7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FieldApplications!$N$7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FieldApplications!$N$8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FieldApplications!$N$8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FieldApplications!$N$8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FieldApplications!$N$9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FieldApplications!$N$9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FieldApplications!$N$9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FieldApplications!$N$10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FieldApplications!$N$10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FieldApplications!$N$10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FieldApplications!$N$11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FieldApplications!$N$11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FieldApplications!$N$11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FieldApplications!$N$12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FieldApplications!$N$12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FieldApplications!$N$12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FieldApplications!$N$13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FieldApplications!$N$13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FieldApplications!$N$13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FieldApplications!$N$14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FieldApplications!$N$14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FieldApplications!$N$14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FieldApplications!$N$15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FieldApplications!$N$15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FieldApplications!$N$15</f>
        <v>1</v>
      </c>
      <c r="F101" s="101">
        <f t="shared" si="13"/>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FieldApplications!$N$16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FieldApplications!$N$16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FieldApplications!$N$16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'Chem&amp;FertInputs&amp;CInsurance'!Q73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12.036583445260488</v>
      </c>
      <c r="I116" s="40">
        <f>(SUM($F8:$F70)+$F115+SUM(I72:I113))*$D116</f>
        <v>11.895700605381602</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12.796356016214853</v>
      </c>
      <c r="I117" s="40">
        <f>(SUM(F8:F70)+(F115+F116+I114))*((D117/12)*MachineAssumptions!D27)</f>
        <v>12.653712140837481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5"/>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24.040745623914123</v>
      </c>
      <c r="I135" s="37">
        <f t="shared" si="19"/>
        <v>24.041109476470602</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289.60535399059921</v>
      </c>
      <c r="I137" s="38">
        <f>SUM(F16:F70)+I114+F115+I116+I117+I135+F8+(I9*D9)+(I10*D10)+(I11*D11)+(I12*D12)+(I13*D13)+(I14*D14)+(I15*D15)</f>
        <v>286.50453433032175</v>
      </c>
    </row>
    <row r="138" spans="1:9" ht="21">
      <c r="A138" s="3"/>
      <c r="B138" s="24" t="s">
        <v>32</v>
      </c>
      <c r="C138" s="25"/>
      <c r="D138" s="26"/>
      <c r="E138" s="25"/>
      <c r="F138" s="39">
        <f>F5-F137</f>
        <v>141.51026552666826</v>
      </c>
      <c r="H138" s="215">
        <f>H5-H137</f>
        <v>141.49464600940081</v>
      </c>
      <c r="I138" s="215">
        <f>I5-I137</f>
        <v>144.59546566967828</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114:F114 B135:F138 B121:C134 E121:F134 B72:B113 D72:F113 B2 B63:G70 B60:G60 C13:G13 B16:F20 B21:G30 B58:G59 B32:G32 B31:F31 B34:G37 B33:F33 B39:G39 B38:F38 B42:G57 B41:F41 B40:F40 B61:F61 B4:E4 B116:F118 B115:D115 E115:F115 C9:G9 C10:G10 C11:G11 C12:G12 C14:F14 C15:F15 B9:B15" unlockedFormula="1"/>
    <ignoredError sqref="D121:D134" formula="1"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'Prices_Yields&amp;SeedInputs'!B17&amp;", Cash Costs and Returns of Producing, $/acre."</f>
        <v>SW Winter Wheat after Fallow, Cash Costs and Returns of Producing, $/acre.</v>
      </c>
      <c r="C2" s="709"/>
      <c r="D2" s="709"/>
      <c r="E2" s="709"/>
      <c r="F2" s="709"/>
    </row>
    <row r="3" spans="1:18" ht="20.5" customHeight="1">
      <c r="A3" s="3"/>
      <c r="B3" s="114" t="s">
        <v>11</v>
      </c>
      <c r="C3" s="17" t="s">
        <v>2</v>
      </c>
      <c r="D3" s="18" t="s">
        <v>12</v>
      </c>
      <c r="E3" s="19" t="s">
        <v>13</v>
      </c>
      <c r="F3" s="19" t="s">
        <v>0</v>
      </c>
      <c r="G3" t="s">
        <v>250</v>
      </c>
      <c r="H3" t="str">
        <f>'Prices_Yields&amp;SeedInputs'!F3</f>
        <v>Incremental Rotation</v>
      </c>
      <c r="I3" t="str">
        <f>'Prices_Yields&amp;SeedInputs'!G3</f>
        <v>Aspirational Rotation</v>
      </c>
      <c r="Q3" s="579"/>
      <c r="R3" s="579"/>
    </row>
    <row r="4" spans="1:18" ht="20.5" customHeight="1">
      <c r="A4" s="3"/>
      <c r="B4" s="11" t="str">
        <f>'Prices_Yields&amp;SeedInputs'!B17</f>
        <v>SW Winter Wheat after Fallow</v>
      </c>
      <c r="C4" s="15" t="str">
        <f>'Prices_Yields&amp;SeedInputs'!C17</f>
        <v>bu</v>
      </c>
      <c r="D4" s="112">
        <f>'Prices_Yields&amp;SeedInputs'!D17</f>
        <v>4.79</v>
      </c>
      <c r="E4" s="77">
        <f>'Prices_Yields&amp;SeedInputs'!E17</f>
        <v>90</v>
      </c>
      <c r="F4" s="28">
        <f>D4*E4</f>
        <v>431.1</v>
      </c>
      <c r="Q4" s="579"/>
      <c r="R4" s="579"/>
    </row>
    <row r="5" spans="1:18" ht="20.5" customHeight="1">
      <c r="A5" s="3"/>
      <c r="B5" s="9" t="s">
        <v>14</v>
      </c>
      <c r="C5" s="22"/>
      <c r="D5" s="23"/>
      <c r="E5" s="22"/>
      <c r="F5" s="37">
        <f>SUM(F4:F4)</f>
        <v>431.1</v>
      </c>
      <c r="H5">
        <f>D4*'Prices_Yields&amp;SeedInputs'!F17</f>
        <v>431.1</v>
      </c>
      <c r="I5">
        <f>D4*'Prices_Yields&amp;SeedInputs'!G17</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'Prices_Yields&amp;SeedInputs'!H17</f>
        <v>pound</v>
      </c>
      <c r="D8" s="73">
        <f>'Prices_Yields&amp;SeedInputs'!I17</f>
        <v>0.25</v>
      </c>
      <c r="E8" s="116">
        <f>'Prices_Yields&amp;SeedInputs'!J17</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'Chem&amp;FertInputs&amp;CInsurance'!R6</f>
        <v>93</v>
      </c>
      <c r="F9" s="101">
        <f t="shared" si="0"/>
        <v>45.337499999999999</v>
      </c>
      <c r="H9">
        <f>'Chem&amp;FertInputs&amp;CInsurance'!R7</f>
        <v>93</v>
      </c>
      <c r="I9">
        <f>'Chem&amp;FertInputs&amp;CInsurance'!R8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'Chem&amp;FertInputs&amp;CInsurance'!R9</f>
        <v>0</v>
      </c>
      <c r="F10" s="101" t="str">
        <f t="shared" si="0"/>
        <v>0</v>
      </c>
      <c r="H10">
        <f>'Chem&amp;FertInputs&amp;CInsurance'!R10</f>
        <v>0</v>
      </c>
      <c r="I10">
        <f>'Chem&amp;FertInputs&amp;CInsurance'!R11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'Chem&amp;FertInputs&amp;CInsurance'!R12</f>
        <v>23</v>
      </c>
      <c r="F11" s="101">
        <f t="shared" si="0"/>
        <v>10.924999999999999</v>
      </c>
      <c r="H11">
        <f>'Chem&amp;FertInputs&amp;CInsurance'!R13</f>
        <v>23</v>
      </c>
      <c r="I11">
        <f>'Chem&amp;FertInputs&amp;CInsurance'!R14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'Chem&amp;FertInputs&amp;CInsurance'!R15</f>
        <v>30</v>
      </c>
      <c r="F12" s="101">
        <f t="shared" si="0"/>
        <v>13.23</v>
      </c>
      <c r="H12">
        <f>'Chem&amp;FertInputs&amp;CInsurance'!R16</f>
        <v>30</v>
      </c>
      <c r="I12">
        <f>'Chem&amp;FertInputs&amp;CInsurance'!R17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'Chem&amp;FertInputs&amp;CInsurance'!R18</f>
        <v>9</v>
      </c>
      <c r="F13" s="101">
        <f t="shared" si="0"/>
        <v>2.2995000000000001</v>
      </c>
      <c r="H13">
        <f>'Chem&amp;FertInputs&amp;CInsurance'!R19</f>
        <v>9</v>
      </c>
      <c r="I13">
        <f>'Chem&amp;FertInputs&amp;CInsurance'!R20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'Chem&amp;FertInputs&amp;CInsurance'!R21</f>
        <v>3.4</v>
      </c>
      <c r="F14" s="101">
        <f t="shared" ref="F14:F20" si="1">IF(D14*E14=0,"0",D14*E14)</f>
        <v>1.6319999999999999</v>
      </c>
      <c r="G14" s="146">
        <f>E14/128</f>
        <v>2.6562499999999999E-2</v>
      </c>
      <c r="H14">
        <f>'Chem&amp;FertInputs&amp;CInsurance'!R22</f>
        <v>3.4</v>
      </c>
      <c r="I14">
        <f>'Chem&amp;FertInputs&amp;CInsurance'!R23</f>
        <v>3.4</v>
      </c>
      <c r="J14" s="40">
        <f>SUM(F14:F61)</f>
        <v>46.56134999999999</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'Chem&amp;FertInputs&amp;CInsurance'!R24</f>
        <v>0</v>
      </c>
      <c r="F15" s="101" t="str">
        <f t="shared" si="1"/>
        <v>0</v>
      </c>
      <c r="G15" s="146">
        <f>E15/16</f>
        <v>0</v>
      </c>
      <c r="H15">
        <f>'Chem&amp;FertInputs&amp;CInsurance'!R25</f>
        <v>0</v>
      </c>
      <c r="I15">
        <f>'Chem&amp;FertInputs&amp;CInsurance'!R26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'Chem&amp;FertInputs&amp;CInsurance'!R27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'Chem&amp;FertInputs&amp;CInsurance'!R28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'Chem&amp;FertInputs&amp;CInsurance'!R29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'Chem&amp;FertInputs&amp;CInsurance'!R30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'Chem&amp;FertInputs&amp;CInsurance'!R31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'Chem&amp;FertInputs&amp;CInsurance'!R33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'Chem&amp;FertInputs&amp;CInsurance'!R34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'Chem&amp;FertInputs&amp;CInsurance'!R35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'Chem&amp;FertInputs&amp;CInsurance'!R36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'Chem&amp;FertInputs&amp;CInsurance'!R37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'Chem&amp;FertInputs&amp;CInsurance'!R38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'Chem&amp;FertInputs&amp;CInsurance'!R39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'Chem&amp;FertInputs&amp;CInsurance'!R40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'Chem&amp;FertInputs&amp;CInsurance'!R41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'Chem&amp;FertInputs&amp;CInsurance'!R42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'Chem&amp;FertInputs&amp;CInsurance'!R43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'Chem&amp;FertInputs&amp;CInsurance'!R44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'Chem&amp;FertInputs&amp;CInsurance'!R45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'Chem&amp;FertInputs&amp;CInsurance'!R46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'Chem&amp;FertInputs&amp;CInsurance'!R47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'Chem&amp;FertInputs&amp;CInsurance'!R48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'Chem&amp;FertInputs&amp;CInsurance'!R49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'Chem&amp;FertInputs&amp;CInsurance'!R50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'Chem&amp;FertInputs&amp;CInsurance'!R51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'Chem&amp;FertInputs&amp;CInsurance'!R52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'Chem&amp;FertInputs&amp;CInsurance'!R53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'Chem&amp;FertInputs&amp;CInsurance'!R54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'Chem&amp;FertInputs&amp;CInsurance'!R55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'Chem&amp;FertInputs&amp;CInsurance'!R56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'Chem&amp;FertInputs&amp;CInsurance'!R57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'Chem&amp;FertInputs&amp;CInsurance'!R58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'Chem&amp;FertInputs&amp;CInsurance'!R59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'Chem&amp;FertInputs&amp;CInsurance'!R60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'Chem&amp;FertInputs&amp;CInsurance'!R61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'Chem&amp;FertInputs&amp;CInsurance'!R62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'Chem&amp;FertInputs&amp;CInsurance'!R63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'Chem&amp;FertInputs&amp;CInsurance'!R64</f>
        <v>4</v>
      </c>
      <c r="F52" s="101">
        <f t="shared" ref="F52"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'Chem&amp;FertInputs&amp;CInsurance'!R65</f>
        <v>0</v>
      </c>
      <c r="F53" s="101" t="str">
        <f t="shared" ref="F53" si="9">IF(D53*E53=0,"0",D53*E53)</f>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'Chem&amp;FertInputs&amp;CInsurance'!R66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'Chem&amp;FertInputs&amp;CInsurance'!R67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'Chem&amp;FertInputs&amp;CInsurance'!R68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'Chem&amp;FertInputs&amp;CInsurance'!R69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'Chem&amp;FertInputs&amp;CInsurance'!R70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'Chem&amp;FertInputs&amp;CInsurance'!R71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'Chem&amp;FertInputs&amp;CInsurance'!R72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'Chem&amp;FertInputs&amp;CInsurance'!R32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CustomRates!P5</f>
        <v>8.9499999999999993</v>
      </c>
      <c r="E63" s="74">
        <f>CustomRates!P6</f>
        <v>0</v>
      </c>
      <c r="F63" s="101" t="str">
        <f t="shared" ref="F63:F70" si="12">IF(D63*E63=0,"0",D63*E63)</f>
        <v>0</v>
      </c>
      <c r="G63" s="190" t="s">
        <v>8</v>
      </c>
      <c r="H63" s="190" t="s">
        <v>8</v>
      </c>
    </row>
    <row r="64" spans="1:11" ht="20">
      <c r="A64" s="3"/>
      <c r="B64" s="108" t="str">
        <f>CustomRates!B7</f>
        <v>Sprayer (Rental 90')</v>
      </c>
      <c r="C64" s="32" t="str">
        <f>CustomRates!C7</f>
        <v>acre</v>
      </c>
      <c r="D64" s="100">
        <f>CustomRates!P7</f>
        <v>8</v>
      </c>
      <c r="E64" s="74">
        <f>CustomRates!P8</f>
        <v>1</v>
      </c>
      <c r="F64" s="101">
        <f t="shared" si="12"/>
        <v>8</v>
      </c>
    </row>
    <row r="65" spans="1:9" ht="20">
      <c r="A65" s="3"/>
      <c r="B65" s="108" t="str">
        <f>CustomRates!B9</f>
        <v>Fertilizer - Anhydrous Applicator (Rent)</v>
      </c>
      <c r="C65" s="32" t="str">
        <f>CustomRates!C9</f>
        <v>acre</v>
      </c>
      <c r="D65" s="100">
        <f>CustomRates!P9</f>
        <v>7</v>
      </c>
      <c r="E65" s="74">
        <f>CustomRates!P10</f>
        <v>0</v>
      </c>
      <c r="F65" s="101" t="str">
        <f t="shared" si="12"/>
        <v>0</v>
      </c>
    </row>
    <row r="66" spans="1:9" ht="20">
      <c r="A66" s="3"/>
      <c r="B66" s="108" t="str">
        <f>CustomRates!B11</f>
        <v>Fertilizer Applicator</v>
      </c>
      <c r="C66" s="32" t="str">
        <f>CustomRates!C11</f>
        <v>acre</v>
      </c>
      <c r="D66" s="100">
        <f>CustomRates!P11</f>
        <v>2</v>
      </c>
      <c r="E66" s="74">
        <f>CustomRates!P12</f>
        <v>0</v>
      </c>
      <c r="F66" s="101" t="str">
        <f t="shared" si="12"/>
        <v>0</v>
      </c>
    </row>
    <row r="67" spans="1:9" ht="20">
      <c r="A67" s="3"/>
      <c r="B67" s="108" t="str">
        <f>CustomRates!B13</f>
        <v>26' Rental Shredder</v>
      </c>
      <c r="C67" s="32" t="str">
        <f>CustomRates!C13</f>
        <v>acre</v>
      </c>
      <c r="D67" s="100">
        <f>CustomRates!P13</f>
        <v>10</v>
      </c>
      <c r="E67" s="74">
        <f>CustomRates!P14</f>
        <v>0</v>
      </c>
      <c r="F67" s="101" t="str">
        <f t="shared" si="12"/>
        <v>0</v>
      </c>
    </row>
    <row r="68" spans="1:9" ht="20">
      <c r="A68" s="3"/>
      <c r="B68" s="108" t="str">
        <f>CustomRates!B15</f>
        <v>36' Ripper Shooter</v>
      </c>
      <c r="C68" s="32" t="str">
        <f>CustomRates!C15</f>
        <v>acre</v>
      </c>
      <c r="D68" s="100">
        <f>CustomRates!P15</f>
        <v>2.5</v>
      </c>
      <c r="E68" s="74">
        <f>CustomRates!P16</f>
        <v>0</v>
      </c>
      <c r="F68" s="101" t="str">
        <f t="shared" si="12"/>
        <v>0</v>
      </c>
    </row>
    <row r="69" spans="1:9" ht="20">
      <c r="A69" s="3"/>
      <c r="B69" s="108" t="str">
        <f>CustomRates!B17</f>
        <v>Custom self-propelled sprayer</v>
      </c>
      <c r="C69" s="32" t="str">
        <f>CustomRates!C17</f>
        <v>acre</v>
      </c>
      <c r="D69" s="100">
        <f>CustomRates!P17</f>
        <v>8</v>
      </c>
      <c r="E69" s="74">
        <f>CustomRates!P18</f>
        <v>0</v>
      </c>
      <c r="F69" s="101" t="str">
        <f t="shared" si="12"/>
        <v>0</v>
      </c>
    </row>
    <row r="70" spans="1:9" ht="20">
      <c r="A70" s="3"/>
      <c r="B70" s="108" t="str">
        <f>CustomRates!B19</f>
        <v>Additional Operation #8 (Custom)</v>
      </c>
      <c r="C70" s="32" t="str">
        <f>CustomRates!C19</f>
        <v>acre</v>
      </c>
      <c r="D70" s="100">
        <f>CustomRates!P19</f>
        <v>0</v>
      </c>
      <c r="E70" s="74">
        <f>CustomRates!P20</f>
        <v>0</v>
      </c>
      <c r="F70" s="101" t="str">
        <f t="shared" si="12"/>
        <v>0</v>
      </c>
      <c r="H70" s="710" t="s">
        <v>251</v>
      </c>
      <c r="I70" s="710"/>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ref="F84:F89" si="14">IF(D84*E84=0,"0",D84*E84)</f>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4"/>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4"/>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4"/>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4"/>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4"/>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FieldApplications!$O$15</f>
        <v>1</v>
      </c>
      <c r="F101" s="101">
        <f t="shared" si="13"/>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5">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5"/>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5"/>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5"/>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5"/>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5"/>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5"/>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5"/>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5"/>
        <v>1</v>
      </c>
      <c r="F113" s="101">
        <f t="shared" si="13"/>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'Chem&amp;FertInputs&amp;CInsurance'!R73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12.036583445260488</v>
      </c>
      <c r="I116" s="40">
        <f>(SUM($F8:$F70)+$F115+SUM(I72:I113))*$D116</f>
        <v>11.895700605381602</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12.796356016214853</v>
      </c>
      <c r="I117" s="40">
        <f>(SUM(F8:F70)+(F115+F116+I114))*((D117/12)*MachineAssumptions!D27)</f>
        <v>12.653712140837481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6">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6"/>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6"/>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6"/>
        <v>0</v>
      </c>
      <c r="H124" s="147">
        <f>MachineAssumptions!U31*E124</f>
        <v>0</v>
      </c>
      <c r="I124" s="147">
        <f>MachineAssumptions!U51*E124</f>
        <v>0</v>
      </c>
    </row>
    <row r="125" spans="1:13" ht="20">
      <c r="A125" s="3"/>
      <c r="B125" s="11" t="str">
        <f>MachineAssumptions!B11&amp;" - Replacement Costs"</f>
        <v>Cultivator - Replacement Costs</v>
      </c>
      <c r="C125" s="32" t="str">
        <f t="shared" ref="C125:C126" si="17">C82</f>
        <v>acre</v>
      </c>
      <c r="D125" s="27">
        <f>MachineAssumptions!U11</f>
        <v>0</v>
      </c>
      <c r="E125" s="128">
        <f>E84</f>
        <v>0</v>
      </c>
      <c r="F125" s="33" t="str">
        <f t="shared" ref="F125:F126" si="18">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7"/>
        <v>acre</v>
      </c>
      <c r="D126" s="27">
        <f>MachineAssumptions!U12</f>
        <v>0</v>
      </c>
      <c r="E126" s="128">
        <f>E87</f>
        <v>0</v>
      </c>
      <c r="F126" s="33" t="str">
        <f t="shared" si="18"/>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6"/>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6"/>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6"/>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6"/>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6"/>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6"/>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6"/>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9">C111</f>
        <v>acre</v>
      </c>
      <c r="D134" s="27">
        <f>MachineAssumptions!U20</f>
        <v>0.64</v>
      </c>
      <c r="E134" s="128">
        <f t="shared" ref="E134" si="20">E111</f>
        <v>1</v>
      </c>
      <c r="F134" s="34">
        <f t="shared" si="16"/>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21">SUM(H121:H134)</f>
        <v>24.040745623914123</v>
      </c>
      <c r="I135" s="37">
        <f t="shared" si="21"/>
        <v>24.041109476470602</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289.60535399059921</v>
      </c>
      <c r="I137" s="38">
        <f>SUM(F16:F70)+I114+F115+I116+I117+I135+F8+(I9*D9)+(I10*D10)+(I11*D11)+(I12*D12)+(I13*D13)+(I14*D14)+(I15*D15)</f>
        <v>286.50453433032175</v>
      </c>
    </row>
    <row r="138" spans="1:9" ht="21">
      <c r="A138" s="3"/>
      <c r="B138" s="24" t="s">
        <v>32</v>
      </c>
      <c r="C138" s="25"/>
      <c r="D138" s="26"/>
      <c r="E138" s="25"/>
      <c r="F138" s="39">
        <f>F5-F137</f>
        <v>141.51026552666826</v>
      </c>
      <c r="H138" s="215">
        <f>H5-H137</f>
        <v>141.49464600940081</v>
      </c>
      <c r="I138" s="215">
        <f>I5-I137</f>
        <v>144.59546566967828</v>
      </c>
    </row>
  </sheetData>
  <mergeCells count="2">
    <mergeCell ref="B2:F2"/>
    <mergeCell ref="H70:I70"/>
  </mergeCells>
  <phoneticPr fontId="61" type="noConversion"/>
  <pageMargins left="0.7" right="0.7" top="0.75" bottom="0.75" header="0.3" footer="0.3"/>
  <pageSetup scale="29" orientation="portrait" r:id="rId1"/>
  <ignoredErrors>
    <ignoredError sqref="B135:F138 B114:F114 B62:F62 B71:F71 B63:E70 B116:E116 B115:E115 D72:E113 B72:B113 B121:C134 E121:F134 C13:E13 B118:F120 B117:E117 C8:E8 B2 B4:F7 B61:E61 B16:F20 B21:E31 B32:F32 B33:E40 B54:E57 B42:E51 B60:E60 B41:F41 F60 B52:F53 F42:F51 B58:F59 F54:F57 C9:E9 C10:E10 C11:E11 C12:E12 C14:F14 C15:F15 B9:B15" unlockedFormula="1"/>
    <ignoredError sqref="D127:D134 D121:D124 D125:D126" formula="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0DD8-0C9D-2F42-8091-DB92D976A7A9}">
  <sheetPr codeName="Sheet2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153" t="s">
        <v>8</v>
      </c>
      <c r="B1" s="20"/>
      <c r="C1" s="5"/>
      <c r="D1" s="10"/>
      <c r="E1" s="5"/>
      <c r="F1" s="5"/>
    </row>
    <row r="2" spans="1:18" ht="20">
      <c r="B2" s="709" t="str">
        <f>'Prices_Yields&amp;SeedInputs'!B18&amp;", Cash Costs and Returns of Producing, $/acre."</f>
        <v>Chem-Fallow,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'Prices_Yields&amp;SeedInputs'!B18</f>
        <v>Chem-Fallow</v>
      </c>
      <c r="C4" s="15" t="str">
        <f>'Prices_Yields&amp;SeedInputs'!C18</f>
        <v>acre</v>
      </c>
      <c r="D4" s="10">
        <f>'Prices_Yields&amp;SeedInputs'!D18</f>
        <v>0</v>
      </c>
      <c r="E4" s="77">
        <f>'Prices_Yields&amp;SeedInputs'!E18</f>
        <v>0</v>
      </c>
      <c r="F4" s="28">
        <f>D4*E4</f>
        <v>0</v>
      </c>
      <c r="Q4" s="579"/>
      <c r="R4" s="579"/>
    </row>
    <row r="5" spans="1:18" ht="20">
      <c r="B5" s="9" t="s">
        <v>14</v>
      </c>
      <c r="C5" s="22"/>
      <c r="D5" s="23"/>
      <c r="E5" s="22"/>
      <c r="F5" s="37">
        <f>SUM(F4:F4)</f>
        <v>0</v>
      </c>
      <c r="H5">
        <f>D4*'Prices_Yields&amp;SeedInputs'!F18</f>
        <v>0</v>
      </c>
      <c r="I5">
        <f>D4*'Prices_Yields&amp;SeedInputs'!G18</f>
        <v>0</v>
      </c>
      <c r="Q5" s="579"/>
      <c r="R5" s="579"/>
    </row>
    <row r="6" spans="1:18" ht="20">
      <c r="B6" s="5"/>
      <c r="C6" s="5"/>
      <c r="D6" s="10"/>
      <c r="E6" s="5"/>
      <c r="F6" s="35"/>
    </row>
    <row r="7" spans="1:18" ht="20">
      <c r="B7" s="115" t="s">
        <v>37</v>
      </c>
      <c r="C7" s="12" t="s">
        <v>2</v>
      </c>
      <c r="D7" s="13" t="s">
        <v>12</v>
      </c>
      <c r="E7" s="14" t="s">
        <v>13</v>
      </c>
      <c r="F7" s="36" t="s">
        <v>0</v>
      </c>
    </row>
    <row r="8" spans="1:18" ht="20">
      <c r="B8" s="234"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'Chem&amp;FertInputs&amp;CInsurance'!S6</f>
        <v>0</v>
      </c>
      <c r="F9" s="101" t="str">
        <f t="shared" ref="F9:F61" si="0">IF(D9*E9=0,"0",D9*E9)</f>
        <v>0</v>
      </c>
      <c r="H9">
        <f>'Chem&amp;FertInputs&amp;CInsurance'!S7</f>
        <v>0</v>
      </c>
      <c r="I9">
        <f>'Chem&amp;FertInputs&amp;CInsurance'!S8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'Chem&amp;FertInputs&amp;CInsurance'!S9</f>
        <v>0</v>
      </c>
      <c r="F10" s="101" t="str">
        <f t="shared" si="0"/>
        <v>0</v>
      </c>
      <c r="H10">
        <f>'Chem&amp;FertInputs&amp;CInsurance'!S10</f>
        <v>0</v>
      </c>
      <c r="I10">
        <f>'Chem&amp;FertInputs&amp;CInsurance'!S11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'Chem&amp;FertInputs&amp;CInsurance'!S12</f>
        <v>0</v>
      </c>
      <c r="F11" s="101" t="str">
        <f t="shared" si="0"/>
        <v>0</v>
      </c>
      <c r="H11">
        <f>'Chem&amp;FertInputs&amp;CInsurance'!S13</f>
        <v>0</v>
      </c>
      <c r="I11">
        <f>'Chem&amp;FertInputs&amp;CInsurance'!S14</f>
        <v>0</v>
      </c>
    </row>
    <row r="12" spans="1:18" ht="20">
      <c r="B12" s="72" t="str">
        <f>'Chem&amp;FertInputs&amp;CInsurance'!B15</f>
        <v>Fertilizer - Potassium-</v>
      </c>
      <c r="C12" s="16" t="str">
        <f>'Chem&amp;FertInputs&amp;CInsurance'!D15</f>
        <v>pound</v>
      </c>
      <c r="D12" s="100">
        <f>'Chem&amp;FertInputs&amp;CInsurance'!E15</f>
        <v>0.441</v>
      </c>
      <c r="E12" s="116">
        <f>'Chem&amp;FertInputs&amp;CInsurance'!S15</f>
        <v>0</v>
      </c>
      <c r="F12" s="101" t="str">
        <f t="shared" si="0"/>
        <v>0</v>
      </c>
      <c r="H12">
        <f>'Chem&amp;FertInputs&amp;CInsurance'!S16</f>
        <v>0</v>
      </c>
      <c r="I12">
        <f>'Chem&amp;FertInputs&amp;CInsurance'!S17</f>
        <v>0</v>
      </c>
    </row>
    <row r="13" spans="1:18" ht="20">
      <c r="B13" s="72" t="str">
        <f>'Chem&amp;FertInputs&amp;CInsurance'!B18</f>
        <v>Fertilizer - Sulfur-</v>
      </c>
      <c r="C13" s="16" t="str">
        <f>'Chem&amp;FertInputs&amp;CInsurance'!D18</f>
        <v>pound</v>
      </c>
      <c r="D13" s="100">
        <f>'Chem&amp;FertInputs&amp;CInsurance'!E18</f>
        <v>0.2555</v>
      </c>
      <c r="E13" s="116">
        <f>'Chem&amp;FertInputs&amp;CInsurance'!S18</f>
        <v>0</v>
      </c>
      <c r="F13" s="101" t="str">
        <f t="shared" si="0"/>
        <v>0</v>
      </c>
      <c r="H13">
        <f>'Chem&amp;FertInputs&amp;CInsurance'!S19</f>
        <v>0</v>
      </c>
      <c r="I13">
        <f>'Chem&amp;FertInputs&amp;CInsurance'!S20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'Chem&amp;FertInputs&amp;CInsurance'!S21</f>
        <v>1.7</v>
      </c>
      <c r="F14" s="101">
        <f t="shared" ref="F14:F20" si="1">IF(D14*E14=0,"0",D14*E14)</f>
        <v>0.81599999999999995</v>
      </c>
      <c r="G14" s="146">
        <f>E14/128</f>
        <v>1.328125E-2</v>
      </c>
      <c r="H14">
        <f>'Chem&amp;FertInputs&amp;CInsurance'!S22</f>
        <v>1.7</v>
      </c>
      <c r="I14">
        <f>'Chem&amp;FertInputs&amp;CInsurance'!S23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'Chem&amp;FertInputs&amp;CInsurance'!S24</f>
        <v>0</v>
      </c>
      <c r="F15" s="101" t="str">
        <f t="shared" si="1"/>
        <v>0</v>
      </c>
      <c r="G15" s="146">
        <f>E15/16</f>
        <v>0</v>
      </c>
      <c r="H15">
        <f>'Chem&amp;FertInputs&amp;CInsurance'!S25</f>
        <v>0</v>
      </c>
      <c r="I15">
        <f>'Chem&amp;FertInputs&amp;CInsurance'!S26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'Chem&amp;FertInputs&amp;CInsurance'!S27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'Chem&amp;FertInputs&amp;CInsurance'!S28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'Chem&amp;FertInputs&amp;CInsurance'!S29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'Chem&amp;FertInputs&amp;CInsurance'!S30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'Chem&amp;FertInputs&amp;CInsurance'!S31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'Chem&amp;FertInputs&amp;CInsurance'!S33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'Chem&amp;FertInputs&amp;CInsurance'!S34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'Chem&amp;FertInputs&amp;CInsurance'!S35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'Chem&amp;FertInputs&amp;CInsurance'!S36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'Chem&amp;FertInputs&amp;CInsurance'!S37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'Chem&amp;FertInputs&amp;CInsurance'!S38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'Chem&amp;FertInputs&amp;CInsurance'!S39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'Chem&amp;FertInputs&amp;CInsurance'!S40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'Chem&amp;FertInputs&amp;CInsurance'!S41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'Chem&amp;FertInputs&amp;CInsurance'!S42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'Chem&amp;FertInputs&amp;CInsurance'!S43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'Chem&amp;FertInputs&amp;CInsurance'!S44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'Chem&amp;FertInputs&amp;CInsurance'!S45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'Chem&amp;FertInputs&amp;CInsurance'!S46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'Chem&amp;FertInputs&amp;CInsurance'!S47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'Chem&amp;FertInputs&amp;CInsurance'!S48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'Chem&amp;FertInputs&amp;CInsurance'!S49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'Chem&amp;FertInputs&amp;CInsurance'!S50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'Chem&amp;FertInputs&amp;CInsurance'!S51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'Chem&amp;FertInputs&amp;CInsurance'!S52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'Chem&amp;FertInputs&amp;CInsurance'!S53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'Chem&amp;FertInputs&amp;CInsurance'!S54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'Chem&amp;FertInputs&amp;CInsurance'!S55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'Chem&amp;FertInputs&amp;CInsurance'!S56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'Chem&amp;FertInputs&amp;CInsurance'!S57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'Chem&amp;FertInputs&amp;CInsurance'!S58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'Chem&amp;FertInputs&amp;CInsurance'!S59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'Chem&amp;FertInputs&amp;CInsurance'!S60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'Chem&amp;FertInputs&amp;CInsurance'!S61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'Chem&amp;FertInputs&amp;CInsurance'!S62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'Chem&amp;FertInputs&amp;CInsurance'!S63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'Chem&amp;FertInputs&amp;CInsurance'!S64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'Chem&amp;FertInputs&amp;CInsurance'!S65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'Chem&amp;FertInputs&amp;CInsurance'!S66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'Chem&amp;FertInputs&amp;CInsurance'!S67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'Chem&amp;FertInputs&amp;CInsurance'!S68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'Chem&amp;FertInputs&amp;CInsurance'!S69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'Chem&amp;FertInputs&amp;CInsurance'!S70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'Chem&amp;FertInputs&amp;CInsurance'!S71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'Chem&amp;FertInputs&amp;CInsurance'!S72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'Chem&amp;FertInputs&amp;CInsurance'!S32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CustomRates!Q5</f>
        <v>8.9499999999999993</v>
      </c>
      <c r="E63" s="74">
        <f>CustomRates!Q6</f>
        <v>0</v>
      </c>
      <c r="F63" s="101" t="str">
        <f t="shared" ref="F63:F70" si="11">IF(D63*E63=0,"0",D63*E63)</f>
        <v>0</v>
      </c>
    </row>
    <row r="64" spans="2:7" ht="20">
      <c r="B64" s="108" t="str">
        <f>CustomRates!B7</f>
        <v>Sprayer (Rental 90')</v>
      </c>
      <c r="C64" s="32" t="str">
        <f>CustomRates!C7</f>
        <v>acre</v>
      </c>
      <c r="D64" s="100">
        <f>CustomRates!Q7</f>
        <v>8</v>
      </c>
      <c r="E64" s="74">
        <f>CustomRates!Q8</f>
        <v>0</v>
      </c>
      <c r="F64" s="101" t="str">
        <f t="shared" si="11"/>
        <v>0</v>
      </c>
    </row>
    <row r="65" spans="2:9" ht="20">
      <c r="B65" s="108" t="str">
        <f>CustomRates!B9</f>
        <v>Fertilizer - Anhydrous Applicator (Rent)</v>
      </c>
      <c r="C65" s="32" t="str">
        <f>CustomRates!C9</f>
        <v>acre</v>
      </c>
      <c r="D65" s="100">
        <f>CustomRates!Q9</f>
        <v>7</v>
      </c>
      <c r="E65" s="74">
        <f>CustomRates!Q10</f>
        <v>0</v>
      </c>
      <c r="F65" s="101" t="str">
        <f t="shared" si="11"/>
        <v>0</v>
      </c>
    </row>
    <row r="66" spans="2:9" ht="20">
      <c r="B66" s="108" t="str">
        <f>CustomRates!B11</f>
        <v>Fertilizer Applicator</v>
      </c>
      <c r="C66" s="32" t="str">
        <f>CustomRates!C11</f>
        <v>acre</v>
      </c>
      <c r="D66" s="100">
        <f>CustomRates!Q11</f>
        <v>2</v>
      </c>
      <c r="E66" s="74">
        <f>CustomRates!Q12</f>
        <v>0</v>
      </c>
      <c r="F66" s="101" t="str">
        <f t="shared" si="11"/>
        <v>0</v>
      </c>
    </row>
    <row r="67" spans="2:9" ht="20">
      <c r="B67" s="108" t="str">
        <f>CustomRates!B13</f>
        <v>26' Rental Shredder</v>
      </c>
      <c r="C67" s="32" t="str">
        <f>CustomRates!C13</f>
        <v>acre</v>
      </c>
      <c r="D67" s="100">
        <f>CustomRates!Q13</f>
        <v>10</v>
      </c>
      <c r="E67" s="74">
        <f>CustomRates!Q14</f>
        <v>0</v>
      </c>
      <c r="F67" s="101" t="str">
        <f t="shared" si="11"/>
        <v>0</v>
      </c>
    </row>
    <row r="68" spans="2:9" ht="20">
      <c r="B68" s="108" t="str">
        <f>CustomRates!B15</f>
        <v>36' Ripper Shooter</v>
      </c>
      <c r="C68" s="32" t="str">
        <f>CustomRates!C15</f>
        <v>acre</v>
      </c>
      <c r="D68" s="100">
        <f>CustomRates!Q15</f>
        <v>2.5</v>
      </c>
      <c r="E68" s="74">
        <f>CustomRates!Q16</f>
        <v>0</v>
      </c>
      <c r="F68" s="101" t="str">
        <f t="shared" si="11"/>
        <v>0</v>
      </c>
    </row>
    <row r="69" spans="2:9" ht="20">
      <c r="B69" s="108" t="str">
        <f>CustomRates!B17</f>
        <v>Custom self-propelled sprayer</v>
      </c>
      <c r="C69" s="32" t="str">
        <f>CustomRates!C17</f>
        <v>acre</v>
      </c>
      <c r="D69" s="100">
        <f>CustomRates!Q17</f>
        <v>8</v>
      </c>
      <c r="E69" s="74">
        <f>CustomRates!Q18</f>
        <v>0</v>
      </c>
      <c r="F69" s="101" t="str">
        <f t="shared" si="11"/>
        <v>0</v>
      </c>
    </row>
    <row r="70" spans="2:9" ht="20">
      <c r="B70" s="108" t="str">
        <f>CustomRates!B19</f>
        <v>Additional Operation #8 (Custom)</v>
      </c>
      <c r="C70" s="32" t="str">
        <f>CustomRates!C19</f>
        <v>acre</v>
      </c>
      <c r="D70" s="100">
        <f>CustomRates!Q19</f>
        <v>0</v>
      </c>
      <c r="E70" s="74">
        <f>CustomRates!Q20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FieldApplications!$P$6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FieldApplications!$P$6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FieldApplications!$P$6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FieldApplications!$P$7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FieldApplications!$P$7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FieldApplications!$P$7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FieldApplications!$P$8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FieldApplications!$P$8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FieldApplications!$P$8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FieldApplications!$P$9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FieldApplications!$P$9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FieldApplications!$P$9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FieldApplications!$P$10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FieldApplications!$P$10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FieldApplications!$P$10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FieldApplications!$P$11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FieldApplications!$P$11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FieldApplications!$P$11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FieldApplications!$P$12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FieldApplications!$P$12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FieldApplications!$P$12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FieldApplications!$P$13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FieldApplications!$P$13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FieldApplications!$P$13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FieldApplications!$P$14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FieldApplications!$P$14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FieldApplications!$P$14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FieldApplications!$P$15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FieldApplications!$P$15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2.0464550709711982</v>
      </c>
      <c r="E101" s="74">
        <f>FieldApplications!$P$15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FieldApplications!$P$16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FieldApplications!$P$16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FieldApplications!$P$16</f>
        <v>1</v>
      </c>
      <c r="F104" s="101">
        <f t="shared" si="12"/>
        <v>0.49795949063219769</v>
      </c>
      <c r="H104" s="211">
        <f>MachineAssumptions!$T$38*E104</f>
        <v>0.50280018563848705</v>
      </c>
      <c r="I104" s="147">
        <f>MachineAssumptions!$T$58*E104</f>
        <v>0.4510828286016228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2.7783916729764968</v>
      </c>
      <c r="I114" s="214">
        <f>SUM(I74:I113)</f>
        <v>2.7266743159396327</v>
      </c>
    </row>
    <row r="115" spans="1:13" ht="20">
      <c r="B115" s="72" t="str">
        <f>'Chem&amp;FertInputs&amp;CInsurance'!B73</f>
        <v>Crop Insurance</v>
      </c>
      <c r="C115" s="16" t="str">
        <f>'Chem&amp;FertInputs&amp;CInsurance'!D73</f>
        <v>acre</v>
      </c>
      <c r="D115" s="100">
        <f>'Chem&amp;FertInputs&amp;CInsurance'!S73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0.33324458364882487</v>
      </c>
      <c r="I116" s="40">
        <f>(SUM($F8:$F70)+$F115+SUM(I72:I113))*$D116</f>
        <v>0.33065871579698164</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0.35426839498242224</v>
      </c>
      <c r="I117" s="40">
        <f>(SUM(F8:F70)+(F115+F116+I114))*((D117/12)*MachineAssumptions!D27)</f>
        <v>0.351650203782431</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0.50280018563848705</v>
      </c>
      <c r="M118" s="40">
        <f>I74+I77+I80+I83+I86+I89+I92+I95+I98+I101+I104+I107+I110+I113</f>
        <v>0.4510828286016228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0.8090118780669916</v>
      </c>
      <c r="I135" s="37">
        <f t="shared" si="18"/>
        <v>0.80913316225248511</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8.1614165296747352</v>
      </c>
      <c r="I137" s="38">
        <f>SUM(F16:F70)+I114+F115+I116+I117+I135+F8+(I9*D9)+(I10*D10)+(I11*D11)+(I12*D12)+(I13*D13)+(I14*D14)+(I15*D15)</f>
        <v>8.1046163977715313</v>
      </c>
    </row>
    <row r="138" spans="1:9" ht="21">
      <c r="A138" s="3"/>
      <c r="B138" s="24" t="s">
        <v>32</v>
      </c>
      <c r="C138" s="25"/>
      <c r="D138" s="26"/>
      <c r="E138" s="25"/>
      <c r="F138" s="39">
        <f>F5-F137</f>
        <v>-8.1562100239189306</v>
      </c>
      <c r="H138" s="215">
        <f>H5-H137</f>
        <v>-8.1614165296747352</v>
      </c>
      <c r="I138" s="215">
        <f>I5-I137</f>
        <v>-8.1046163977715313</v>
      </c>
    </row>
  </sheetData>
  <mergeCells count="1">
    <mergeCell ref="B2:F2"/>
  </mergeCells>
  <pageMargins left="0.7" right="0.7" top="0.75" bottom="0.75" header="0.3" footer="0.3"/>
  <pageSetup scale="57" orientation="portrait" horizontalDpi="0" verticalDpi="0"/>
  <ignoredErrors>
    <ignoredError sqref="B116:F116 B115:D115 B114:F114 B127:C134 B135:F144 B121:C124 B125:F126 C13:D13 C14:F14 B62:E71 B118:F120 B117:E117 B3:F3 B2 B72:B113 D90:E113 D84:F89 D72:E83 E121:G124 E127:G134 B60:D61 B4:F7 B54:D57 B42:D51 B33:D40 B21:D31 B16:G20 B32:G32 E21:G31 B41:G41 E33:G40 B52:G53 E42:G51 B58:G59 E54:G57 E115 C9:D9 C10:D10 C11:D11 C12:D12 C15:G15 B9:B15" unlockedFormula="1"/>
    <ignoredError sqref="D127:D134 D121:D124" formula="1" unlocked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4056-2118-7140-828C-1415A6863BE6}">
  <sheetPr codeName="Sheet4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153" t="s">
        <v>8</v>
      </c>
      <c r="B1" s="20"/>
      <c r="C1" s="5"/>
      <c r="D1" s="10"/>
      <c r="E1" s="5"/>
      <c r="F1" s="5"/>
    </row>
    <row r="2" spans="1:18" ht="20">
      <c r="B2" s="709" t="str">
        <f>'Prices_Yields&amp;SeedInputs'!B19&amp;", Cash Costs and Returns of Producing, $/acre."</f>
        <v>Flex-Fallow,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'Prices_Yields&amp;SeedInputs'!B19</f>
        <v>Flex-Fallow</v>
      </c>
      <c r="C4" s="15" t="str">
        <f>'Prices_Yields&amp;SeedInputs'!C19</f>
        <v>acre</v>
      </c>
      <c r="D4" s="10">
        <f>'Prices_Yields&amp;SeedInputs'!D19</f>
        <v>0</v>
      </c>
      <c r="E4" s="77">
        <f>'Prices_Yields&amp;SeedInputs'!E19</f>
        <v>0</v>
      </c>
      <c r="F4" s="28">
        <f>D4*E4</f>
        <v>0</v>
      </c>
      <c r="Q4" s="579"/>
      <c r="R4" s="579"/>
    </row>
    <row r="5" spans="1:18" ht="20">
      <c r="B5" s="9" t="s">
        <v>14</v>
      </c>
      <c r="C5" s="22"/>
      <c r="D5" s="23"/>
      <c r="E5" s="22"/>
      <c r="F5" s="37">
        <f>SUM(F4:F4)</f>
        <v>0</v>
      </c>
      <c r="H5">
        <f>D4*'Prices_Yields&amp;SeedInputs'!F19</f>
        <v>0</v>
      </c>
      <c r="I5">
        <f>D4*'Prices_Yields&amp;SeedInputs'!G19</f>
        <v>0</v>
      </c>
      <c r="Q5" s="579"/>
      <c r="R5" s="579"/>
    </row>
    <row r="6" spans="1:18" ht="20">
      <c r="B6" s="5"/>
      <c r="C6" s="5"/>
      <c r="D6" s="10"/>
      <c r="E6" s="5"/>
      <c r="F6" s="35"/>
    </row>
    <row r="7" spans="1:18" ht="20">
      <c r="B7" s="115" t="s">
        <v>37</v>
      </c>
      <c r="C7" s="12" t="s">
        <v>2</v>
      </c>
      <c r="D7" s="13" t="s">
        <v>12</v>
      </c>
      <c r="E7" s="14" t="s">
        <v>13</v>
      </c>
      <c r="F7" s="36" t="s">
        <v>0</v>
      </c>
    </row>
    <row r="8" spans="1:18" ht="20">
      <c r="B8" s="235"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'Chem&amp;FertInputs&amp;CInsurance'!T6</f>
        <v>0</v>
      </c>
      <c r="F9" s="101" t="str">
        <f t="shared" ref="F9:F61" si="0">IF(D9*E9=0,"0",D9*E9)</f>
        <v>0</v>
      </c>
      <c r="H9">
        <f>'Chem&amp;FertInputs&amp;CInsurance'!T7</f>
        <v>0</v>
      </c>
      <c r="I9">
        <f>'Chem&amp;FertInputs&amp;CInsurance'!T8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'Chem&amp;FertInputs&amp;CInsurance'!T9</f>
        <v>0</v>
      </c>
      <c r="F10" s="101" t="str">
        <f t="shared" si="0"/>
        <v>0</v>
      </c>
      <c r="H10">
        <f>'Chem&amp;FertInputs&amp;CInsurance'!T10</f>
        <v>0</v>
      </c>
      <c r="I10">
        <f>'Chem&amp;FertInputs&amp;CInsurance'!T11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'Chem&amp;FertInputs&amp;CInsurance'!T12</f>
        <v>0</v>
      </c>
      <c r="F11" s="101" t="str">
        <f t="shared" si="0"/>
        <v>0</v>
      </c>
      <c r="H11">
        <f>'Chem&amp;FertInputs&amp;CInsurance'!T13</f>
        <v>0</v>
      </c>
      <c r="I11">
        <f>'Chem&amp;FertInputs&amp;CInsurance'!T14</f>
        <v>0</v>
      </c>
    </row>
    <row r="12" spans="1:18" ht="20">
      <c r="B12" s="72" t="str">
        <f>'Chem&amp;FertInputs&amp;CInsurance'!B15</f>
        <v>Fertilizer - Potassium-</v>
      </c>
      <c r="C12" s="16" t="str">
        <f>'Chem&amp;FertInputs&amp;CInsurance'!D15</f>
        <v>pound</v>
      </c>
      <c r="D12" s="100">
        <f>'Chem&amp;FertInputs&amp;CInsurance'!E15</f>
        <v>0.441</v>
      </c>
      <c r="E12" s="116">
        <f>'Chem&amp;FertInputs&amp;CInsurance'!T15</f>
        <v>0</v>
      </c>
      <c r="F12" s="101" t="str">
        <f t="shared" si="0"/>
        <v>0</v>
      </c>
      <c r="H12">
        <f>'Chem&amp;FertInputs&amp;CInsurance'!T16</f>
        <v>0</v>
      </c>
      <c r="I12">
        <f>'Chem&amp;FertInputs&amp;CInsurance'!T17</f>
        <v>0</v>
      </c>
    </row>
    <row r="13" spans="1:18" ht="20">
      <c r="B13" s="72" t="str">
        <f>'Chem&amp;FertInputs&amp;CInsurance'!B18</f>
        <v>Fertilizer - Sulfur-</v>
      </c>
      <c r="C13" s="16" t="str">
        <f>'Chem&amp;FertInputs&amp;CInsurance'!D18</f>
        <v>pound</v>
      </c>
      <c r="D13" s="100">
        <f>'Chem&amp;FertInputs&amp;CInsurance'!E18</f>
        <v>0.2555</v>
      </c>
      <c r="E13" s="116">
        <f>'Chem&amp;FertInputs&amp;CInsurance'!T18</f>
        <v>0</v>
      </c>
      <c r="F13" s="101" t="str">
        <f t="shared" si="0"/>
        <v>0</v>
      </c>
      <c r="H13">
        <f>'Chem&amp;FertInputs&amp;CInsurance'!T19</f>
        <v>0</v>
      </c>
      <c r="I13">
        <f>'Chem&amp;FertInputs&amp;CInsurance'!T20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'Chem&amp;FertInputs&amp;CInsurance'!T21</f>
        <v>1.7</v>
      </c>
      <c r="F14" s="101">
        <f t="shared" ref="F14:F20" si="1">IF(D14*E14=0,"0",D14*E14)</f>
        <v>0.81599999999999995</v>
      </c>
      <c r="G14" s="146">
        <f>E14/128</f>
        <v>1.328125E-2</v>
      </c>
      <c r="H14">
        <f>'Chem&amp;FertInputs&amp;CInsurance'!T22</f>
        <v>1.7</v>
      </c>
      <c r="I14">
        <f>'Chem&amp;FertInputs&amp;CInsurance'!T23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'Chem&amp;FertInputs&amp;CInsurance'!T24</f>
        <v>0</v>
      </c>
      <c r="F15" s="101" t="str">
        <f t="shared" si="1"/>
        <v>0</v>
      </c>
      <c r="G15" s="146">
        <f>E15/16</f>
        <v>0</v>
      </c>
      <c r="H15">
        <f>'Chem&amp;FertInputs&amp;CInsurance'!T25</f>
        <v>0</v>
      </c>
      <c r="I15">
        <f>'Chem&amp;FertInputs&amp;CInsurance'!T26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'Chem&amp;FertInputs&amp;CInsurance'!T27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'Chem&amp;FertInputs&amp;CInsurance'!T28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'Chem&amp;FertInputs&amp;CInsurance'!T29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'Chem&amp;FertInputs&amp;CInsurance'!T30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'Chem&amp;FertInputs&amp;CInsurance'!T31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'Chem&amp;FertInputs&amp;CInsurance'!T33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'Chem&amp;FertInputs&amp;CInsurance'!T34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'Chem&amp;FertInputs&amp;CInsurance'!T35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'Chem&amp;FertInputs&amp;CInsurance'!T36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'Chem&amp;FertInputs&amp;CInsurance'!T37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'Chem&amp;FertInputs&amp;CInsurance'!T38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'Chem&amp;FertInputs&amp;CInsurance'!T39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'Chem&amp;FertInputs&amp;CInsurance'!T40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'Chem&amp;FertInputs&amp;CInsurance'!T41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'Chem&amp;FertInputs&amp;CInsurance'!T42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'Chem&amp;FertInputs&amp;CInsurance'!T43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'Chem&amp;FertInputs&amp;CInsurance'!T44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'Chem&amp;FertInputs&amp;CInsurance'!T45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'Chem&amp;FertInputs&amp;CInsurance'!T46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'Chem&amp;FertInputs&amp;CInsurance'!T47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'Chem&amp;FertInputs&amp;CInsurance'!T48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'Chem&amp;FertInputs&amp;CInsurance'!T49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'Chem&amp;FertInputs&amp;CInsurance'!T50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'Chem&amp;FertInputs&amp;CInsurance'!T51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'Chem&amp;FertInputs&amp;CInsurance'!T52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'Chem&amp;FertInputs&amp;CInsurance'!T53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'Chem&amp;FertInputs&amp;CInsurance'!T54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'Chem&amp;FertInputs&amp;CInsurance'!T55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'Chem&amp;FertInputs&amp;CInsurance'!T56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'Chem&amp;FertInputs&amp;CInsurance'!T57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'Chem&amp;FertInputs&amp;CInsurance'!T58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'Chem&amp;FertInputs&amp;CInsurance'!T59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'Chem&amp;FertInputs&amp;CInsurance'!T60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'Chem&amp;FertInputs&amp;CInsurance'!T61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'Chem&amp;FertInputs&amp;CInsurance'!T62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'Chem&amp;FertInputs&amp;CInsurance'!T63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'Chem&amp;FertInputs&amp;CInsurance'!T64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'Chem&amp;FertInputs&amp;CInsurance'!T65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'Chem&amp;FertInputs&amp;CInsurance'!T66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'Chem&amp;FertInputs&amp;CInsurance'!T67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'Chem&amp;FertInputs&amp;CInsurance'!T68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'Chem&amp;FertInputs&amp;CInsurance'!T69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'Chem&amp;FertInputs&amp;CInsurance'!T70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'Chem&amp;FertInputs&amp;CInsurance'!T71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'Chem&amp;FertInputs&amp;CInsurance'!T72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'Chem&amp;FertInputs&amp;CInsurance'!T32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CustomRates!R5</f>
        <v>8.9499999999999993</v>
      </c>
      <c r="E63" s="74">
        <f>CustomRates!R6</f>
        <v>0</v>
      </c>
      <c r="F63" s="101" t="str">
        <f t="shared" ref="F63:F70" si="11">IF(D63*E63=0,"0",D63*E63)</f>
        <v>0</v>
      </c>
    </row>
    <row r="64" spans="2:7" ht="20">
      <c r="B64" s="108" t="str">
        <f>CustomRates!B7</f>
        <v>Sprayer (Rental 90')</v>
      </c>
      <c r="C64" s="32" t="str">
        <f>CustomRates!C7</f>
        <v>acre</v>
      </c>
      <c r="D64" s="100">
        <f>CustomRates!R7</f>
        <v>8</v>
      </c>
      <c r="E64" s="74">
        <f>CustomRates!R8</f>
        <v>0</v>
      </c>
      <c r="F64" s="101" t="str">
        <f t="shared" si="11"/>
        <v>0</v>
      </c>
    </row>
    <row r="65" spans="2:9" ht="20">
      <c r="B65" s="108" t="str">
        <f>CustomRates!B9</f>
        <v>Fertilizer - Anhydrous Applicator (Rent)</v>
      </c>
      <c r="C65" s="32" t="str">
        <f>CustomRates!C9</f>
        <v>acre</v>
      </c>
      <c r="D65" s="100">
        <f>CustomRates!R9</f>
        <v>7</v>
      </c>
      <c r="E65" s="74">
        <f>CustomRates!R10</f>
        <v>0</v>
      </c>
      <c r="F65" s="101" t="str">
        <f t="shared" si="11"/>
        <v>0</v>
      </c>
    </row>
    <row r="66" spans="2:9" ht="20">
      <c r="B66" s="108" t="str">
        <f>CustomRates!B11</f>
        <v>Fertilizer Applicator</v>
      </c>
      <c r="C66" s="32" t="str">
        <f>CustomRates!C11</f>
        <v>acre</v>
      </c>
      <c r="D66" s="100">
        <f>CustomRates!R11</f>
        <v>2</v>
      </c>
      <c r="E66" s="74">
        <f>CustomRates!R12</f>
        <v>0</v>
      </c>
      <c r="F66" s="101" t="str">
        <f t="shared" si="11"/>
        <v>0</v>
      </c>
    </row>
    <row r="67" spans="2:9" ht="20">
      <c r="B67" s="108" t="str">
        <f>CustomRates!B13</f>
        <v>26' Rental Shredder</v>
      </c>
      <c r="C67" s="32" t="str">
        <f>CustomRates!C13</f>
        <v>acre</v>
      </c>
      <c r="D67" s="100">
        <f>CustomRates!R13</f>
        <v>10</v>
      </c>
      <c r="E67" s="74">
        <f>CustomRates!R14</f>
        <v>0</v>
      </c>
      <c r="F67" s="101" t="str">
        <f t="shared" si="11"/>
        <v>0</v>
      </c>
    </row>
    <row r="68" spans="2:9" ht="20">
      <c r="B68" s="108" t="str">
        <f>CustomRates!B15</f>
        <v>36' Ripper Shooter</v>
      </c>
      <c r="C68" s="32" t="str">
        <f>CustomRates!C15</f>
        <v>acre</v>
      </c>
      <c r="D68" s="100">
        <f>CustomRates!R15</f>
        <v>2.5</v>
      </c>
      <c r="E68" s="74">
        <f>CustomRates!R16</f>
        <v>0</v>
      </c>
      <c r="F68" s="101" t="str">
        <f t="shared" si="11"/>
        <v>0</v>
      </c>
    </row>
    <row r="69" spans="2:9" ht="20">
      <c r="B69" s="108" t="str">
        <f>CustomRates!B17</f>
        <v>Custom self-propelled sprayer</v>
      </c>
      <c r="C69" s="32" t="str">
        <f>CustomRates!C17</f>
        <v>acre</v>
      </c>
      <c r="D69" s="100">
        <f>CustomRates!R17</f>
        <v>8</v>
      </c>
      <c r="E69" s="74">
        <f>CustomRates!R18</f>
        <v>0</v>
      </c>
      <c r="F69" s="101" t="str">
        <f t="shared" si="11"/>
        <v>0</v>
      </c>
    </row>
    <row r="70" spans="2:9" ht="20">
      <c r="B70" s="108" t="str">
        <f>CustomRates!B19</f>
        <v>Additional Operation #8 (Custom)</v>
      </c>
      <c r="C70" s="32" t="str">
        <f>CustomRates!C19</f>
        <v>acre</v>
      </c>
      <c r="D70" s="100">
        <f>CustomRates!R19</f>
        <v>0</v>
      </c>
      <c r="E70" s="74">
        <f>CustomRates!R20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FieldApplications!$Q$6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FieldApplications!$Q$6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FieldApplications!$Q$6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FieldApplications!$Q$7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FieldApplications!$Q$7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FieldApplications!$Q$7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FieldApplications!$Q$8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FieldApplications!$Q$8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FieldApplications!$Q$8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FieldApplications!$Q$9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FieldApplications!$Q$9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FieldApplications!$Q$9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FieldApplications!$Q$10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FieldApplications!$Q$10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FieldApplications!$Q$10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FieldApplications!$Q$11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FieldApplications!$Q$11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FieldApplications!$Q$11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FieldApplications!$Q$12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FieldApplications!$Q$12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FieldApplications!$Q$12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FieldApplications!$Q$13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FieldApplications!$Q$13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FieldApplications!$Q$13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FieldApplications!$Q$14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FieldApplications!$Q$14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FieldApplications!$Q$14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FieldApplications!$Q$15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FieldApplications!$Q$15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2.0464550709711982</v>
      </c>
      <c r="E101" s="74">
        <f>FieldApplications!$Q$15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FieldApplications!$Q$16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FieldApplications!$Q$16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FieldApplications!$Q$16</f>
        <v>1</v>
      </c>
      <c r="F104" s="101">
        <f t="shared" si="12"/>
        <v>0.49795949063219769</v>
      </c>
      <c r="H104" s="211">
        <f>MachineAssumptions!$T$38*E104</f>
        <v>0.50280018563848705</v>
      </c>
      <c r="I104" s="147">
        <f>MachineAssumptions!$T$58*E104</f>
        <v>0.4510828286016228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2.7783916729764968</v>
      </c>
      <c r="I114" s="214">
        <f>SUM(I74:I113)</f>
        <v>2.7266743159396327</v>
      </c>
    </row>
    <row r="115" spans="1:13" ht="20">
      <c r="B115" s="72" t="str">
        <f>'Chem&amp;FertInputs&amp;CInsurance'!B73</f>
        <v>Crop Insurance</v>
      </c>
      <c r="C115" s="16" t="str">
        <f>'Chem&amp;FertInputs&amp;CInsurance'!D73</f>
        <v>acre</v>
      </c>
      <c r="D115" s="100">
        <f>'Chem&amp;FertInputs&amp;CInsurance'!T73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0.33324458364882487</v>
      </c>
      <c r="I116" s="40">
        <f>(SUM($F8:$F70)+$F115+SUM(I72:I113))*$D116</f>
        <v>0.33065871579698164</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0.35426839498242224</v>
      </c>
      <c r="I117" s="40">
        <f>(SUM(F8:F70)+(F115+F116+I114))*((D117/12)*MachineAssumptions!D27)</f>
        <v>0.351650203782431</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0.50280018563848705</v>
      </c>
      <c r="M118" s="40">
        <f>I74+I77+I80+I83+I86+I89+I92+I95+I98+I101+I104+I107+I110+I113</f>
        <v>0.4510828286016228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0.8090118780669916</v>
      </c>
      <c r="I135" s="37">
        <f t="shared" si="18"/>
        <v>0.80913316225248511</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8.1614165296747352</v>
      </c>
      <c r="I137" s="38">
        <f>SUM(F16:F70)+I114+F115+I116+I117+I135+F8+(I9*D9)+(I10*D10)+(I11*D11)+(I12*D12)+(I13*D13)+(I14*D14)+(I15*D15)</f>
        <v>8.1046163977715313</v>
      </c>
    </row>
    <row r="138" spans="1:9" ht="21">
      <c r="A138" s="3"/>
      <c r="B138" s="24" t="s">
        <v>32</v>
      </c>
      <c r="C138" s="25"/>
      <c r="D138" s="26"/>
      <c r="E138" s="25"/>
      <c r="F138" s="39">
        <f>F5-F137</f>
        <v>-8.1562100239189306</v>
      </c>
      <c r="H138" s="215">
        <f>H5-H137</f>
        <v>-8.1614165296747352</v>
      </c>
      <c r="I138" s="215">
        <f>I5-I137</f>
        <v>-8.1046163977715313</v>
      </c>
    </row>
  </sheetData>
  <mergeCells count="1">
    <mergeCell ref="B2:F2"/>
  </mergeCells>
  <pageMargins left="0.7" right="0.7" top="0.75" bottom="0.75" header="0.3" footer="0.3"/>
  <pageSetup scale="57" orientation="portrait" horizontalDpi="0" verticalDpi="0"/>
  <ignoredErrors>
    <ignoredError sqref="B3:F3 B63:F70 B114:F114 B135:F138 B121:C134 E121:F134 B2 B72:B113 D72:F113 B61:F61 C14:F14 B4:F5 B54:F57 B42:F51 B33:F40 B21:F31 B60:F60 B16:G20 G60 B32:G32 G21:G31 B41:G41 G33:G40 B52:G53 G42:G51 B58:G59 G54:G57 B116:F120 B115:D115 E115:F115 C9:F9 C10:F10 C11:F11 C12:F12 C13:F13 C15:G15 B9:B15" unlockedFormula="1"/>
    <ignoredError sqref="D121:D134" formula="1" unlockedFormula="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AC14-DD09-C543-A6CD-CB3C4D791722}">
  <sheetPr codeName="Sheet19">
    <pageSetUpPr fitToPage="1"/>
  </sheetPr>
  <dimension ref="A1:AF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0" width="0" hidden="1" customWidth="1"/>
  </cols>
  <sheetData>
    <row r="1" spans="1:32" ht="20">
      <c r="A1" s="302" t="s">
        <v>8</v>
      </c>
      <c r="B1" s="20"/>
      <c r="C1" s="5"/>
      <c r="D1" s="10"/>
      <c r="E1" s="5"/>
      <c r="F1" s="5"/>
    </row>
    <row r="2" spans="1:32" ht="24" customHeight="1">
      <c r="A2" s="3"/>
      <c r="B2" s="711" t="str">
        <f>'Prices_Yields&amp;SeedInputs'!B20&amp;", Cash Costs and Returns of Producing, $/acre."</f>
        <v>Spring Barley, Cash Costs and Returns of Producing, $/acre.</v>
      </c>
      <c r="C2" s="711"/>
      <c r="D2" s="711"/>
      <c r="E2" s="711"/>
      <c r="F2" s="711"/>
    </row>
    <row r="3" spans="1:32" ht="20">
      <c r="A3" s="3"/>
      <c r="B3" s="114" t="s">
        <v>11</v>
      </c>
      <c r="C3" s="17" t="s">
        <v>2</v>
      </c>
      <c r="D3" s="18" t="s">
        <v>12</v>
      </c>
      <c r="E3" s="19" t="s">
        <v>13</v>
      </c>
      <c r="F3" s="19" t="s">
        <v>0</v>
      </c>
      <c r="H3" t="str">
        <f>'Prices_Yields&amp;SeedInputs'!F3</f>
        <v>Incremental Rotation</v>
      </c>
      <c r="I3" t="str">
        <f>'Prices_Yields&amp;SeedInputs'!G3</f>
        <v>Aspirational Rotation</v>
      </c>
      <c r="AE3" s="579"/>
      <c r="AF3" s="579"/>
    </row>
    <row r="4" spans="1:32" ht="20">
      <c r="A4" s="3"/>
      <c r="B4" s="11" t="str">
        <f>'Prices_Yields&amp;SeedInputs'!B20</f>
        <v>Spring Barley</v>
      </c>
      <c r="C4" s="16" t="str">
        <f>'Prices_Yields&amp;SeedInputs'!C20</f>
        <v>ton</v>
      </c>
      <c r="D4" s="113">
        <f>'Prices_Yields&amp;SeedInputs'!D20</f>
        <v>140.97</v>
      </c>
      <c r="E4" s="111">
        <f>'Prices_Yields&amp;SeedInputs'!E20</f>
        <v>2</v>
      </c>
      <c r="F4" s="28">
        <f>D4*E4</f>
        <v>281.94</v>
      </c>
      <c r="AE4" s="579"/>
      <c r="AF4" s="579"/>
    </row>
    <row r="5" spans="1:32" ht="20">
      <c r="A5" s="3"/>
      <c r="B5" s="9" t="s">
        <v>14</v>
      </c>
      <c r="C5" s="22"/>
      <c r="D5" s="23"/>
      <c r="E5" s="22"/>
      <c r="F5" s="37">
        <f>SUM(F4:F4)</f>
        <v>281.94</v>
      </c>
      <c r="H5">
        <f>D4*'Prices_Yields&amp;SeedInputs'!F20</f>
        <v>281.94</v>
      </c>
      <c r="I5">
        <f>D4*'Prices_Yields&amp;SeedInputs'!G20</f>
        <v>281.94</v>
      </c>
      <c r="AE5" s="579"/>
      <c r="AF5" s="579"/>
    </row>
    <row r="6" spans="1:32" ht="20">
      <c r="A6" s="3"/>
      <c r="B6" s="5"/>
      <c r="C6" s="5"/>
      <c r="D6" s="10"/>
      <c r="E6" s="5"/>
      <c r="F6" s="35"/>
    </row>
    <row r="7" spans="1:32" ht="20">
      <c r="A7" s="3"/>
      <c r="B7" s="115" t="s">
        <v>37</v>
      </c>
      <c r="C7" s="12" t="s">
        <v>2</v>
      </c>
      <c r="D7" s="13" t="s">
        <v>12</v>
      </c>
      <c r="E7" s="14" t="s">
        <v>13</v>
      </c>
      <c r="F7" s="36" t="s">
        <v>0</v>
      </c>
    </row>
    <row r="8" spans="1:32" ht="20">
      <c r="A8" s="3"/>
      <c r="B8" s="236" t="s">
        <v>169</v>
      </c>
      <c r="C8" s="103" t="str">
        <f>'Prices_Yields&amp;SeedInputs'!H20</f>
        <v>pound</v>
      </c>
      <c r="D8" s="73">
        <f>'Prices_Yields&amp;SeedInputs'!I20</f>
        <v>0.24</v>
      </c>
      <c r="E8" s="116">
        <f>'Prices_Yields&amp;SeedInputs'!J20</f>
        <v>80</v>
      </c>
      <c r="F8" s="101">
        <f t="shared" ref="F8:F61" si="0">IF(D8*E8=0,"0",D8*E8)</f>
        <v>19.2</v>
      </c>
    </row>
    <row r="9" spans="1:32" ht="20">
      <c r="A9" s="3"/>
      <c r="B9" s="72" t="str">
        <f>'Chem&amp;FertInputs&amp;CInsurance'!B6</f>
        <v>Fertilizer - Nitrogen-</v>
      </c>
      <c r="C9" s="16" t="str">
        <f>'Chem&amp;FertInputs&amp;CInsurance'!D6</f>
        <v>pound</v>
      </c>
      <c r="D9" s="100">
        <f>'Chem&amp;FertInputs&amp;CInsurance'!E6</f>
        <v>0.48749999999999999</v>
      </c>
      <c r="E9" s="116">
        <f>'Chem&amp;FertInputs&amp;CInsurance'!U6</f>
        <v>80</v>
      </c>
      <c r="F9" s="101">
        <f t="shared" si="0"/>
        <v>39</v>
      </c>
      <c r="H9">
        <f>'Chem&amp;FertInputs&amp;CInsurance'!U7</f>
        <v>80</v>
      </c>
      <c r="I9">
        <f>'Chem&amp;FertInputs&amp;CInsurance'!U8</f>
        <v>80</v>
      </c>
    </row>
    <row r="10" spans="1:32" ht="20">
      <c r="A10" s="3"/>
      <c r="B10" s="72" t="str">
        <f>'Chem&amp;FertInputs&amp;CInsurance'!B9</f>
        <v>Fertilizer - Anhydrous Ammonia-</v>
      </c>
      <c r="C10" s="16" t="str">
        <f>'Chem&amp;FertInputs&amp;CInsurance'!D9</f>
        <v>pound</v>
      </c>
      <c r="D10" s="100">
        <f>'Chem&amp;FertInputs&amp;CInsurance'!E9</f>
        <v>0.75770000000000004</v>
      </c>
      <c r="E10" s="116">
        <f>'Chem&amp;FertInputs&amp;CInsurance'!U9</f>
        <v>0</v>
      </c>
      <c r="F10" s="101" t="str">
        <f t="shared" si="0"/>
        <v>0</v>
      </c>
      <c r="H10">
        <f>'Chem&amp;FertInputs&amp;CInsurance'!U10</f>
        <v>0</v>
      </c>
      <c r="I10">
        <f>'Chem&amp;FertInputs&amp;CInsurance'!U11</f>
        <v>0</v>
      </c>
    </row>
    <row r="11" spans="1:32"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'Chem&amp;FertInputs&amp;CInsurance'!U12</f>
        <v>5</v>
      </c>
      <c r="F11" s="101">
        <f t="shared" si="0"/>
        <v>2.375</v>
      </c>
      <c r="H11">
        <f>'Chem&amp;FertInputs&amp;CInsurance'!U13</f>
        <v>5</v>
      </c>
      <c r="I11">
        <f>'Chem&amp;FertInputs&amp;CInsurance'!U14</f>
        <v>5</v>
      </c>
    </row>
    <row r="12" spans="1:32" ht="20">
      <c r="A12" s="3"/>
      <c r="B12" s="72" t="str">
        <f>'Chem&amp;FertInputs&amp;CInsurance'!B15</f>
        <v>Fertilizer - Potassium-</v>
      </c>
      <c r="C12" s="16" t="str">
        <f>'Chem&amp;FertInputs&amp;CInsurance'!D15</f>
        <v>pound</v>
      </c>
      <c r="D12" s="100">
        <f>'Chem&amp;FertInputs&amp;CInsurance'!E15</f>
        <v>0.441</v>
      </c>
      <c r="E12" s="116">
        <f>'Chem&amp;FertInputs&amp;CInsurance'!U15</f>
        <v>0</v>
      </c>
      <c r="F12" s="101" t="str">
        <f t="shared" si="0"/>
        <v>0</v>
      </c>
      <c r="H12">
        <f>'Chem&amp;FertInputs&amp;CInsurance'!U16</f>
        <v>0</v>
      </c>
      <c r="I12">
        <f>'Chem&amp;FertInputs&amp;CInsurance'!U17</f>
        <v>0</v>
      </c>
    </row>
    <row r="13" spans="1:32" ht="20">
      <c r="A13" s="3"/>
      <c r="B13" s="72" t="str">
        <f>'Chem&amp;FertInputs&amp;CInsurance'!B18</f>
        <v>Fertilizer - Sulfur-</v>
      </c>
      <c r="C13" s="16" t="str">
        <f>'Chem&amp;FertInputs&amp;CInsurance'!D18</f>
        <v>pound</v>
      </c>
      <c r="D13" s="100">
        <f>'Chem&amp;FertInputs&amp;CInsurance'!E18</f>
        <v>0.2555</v>
      </c>
      <c r="E13" s="116">
        <f>'Chem&amp;FertInputs&amp;CInsurance'!U18</f>
        <v>15</v>
      </c>
      <c r="F13" s="101">
        <f t="shared" si="0"/>
        <v>3.8325</v>
      </c>
      <c r="H13">
        <f>'Chem&amp;FertInputs&amp;CInsurance'!U19</f>
        <v>15</v>
      </c>
      <c r="I13">
        <f>'Chem&amp;FertInputs&amp;CInsurance'!U20</f>
        <v>15</v>
      </c>
    </row>
    <row r="14" spans="1:32" ht="20">
      <c r="A14" s="3"/>
      <c r="B14" s="72" t="str">
        <f>'Chem&amp;FertInputs&amp;CInsurance'!B21</f>
        <v>Adjuvant - Ammonium Sulfate liquid-</v>
      </c>
      <c r="C14" s="16" t="str">
        <f>'Chem&amp;FertInputs&amp;CInsurance'!D21</f>
        <v>pound</v>
      </c>
      <c r="D14" s="100">
        <f>'Chem&amp;FertInputs&amp;CInsurance'!E21</f>
        <v>0.48</v>
      </c>
      <c r="E14" s="116">
        <f>'Chem&amp;FertInputs&amp;CInsurance'!U21</f>
        <v>1.7</v>
      </c>
      <c r="F14" s="101">
        <f t="shared" ref="F14:F20" si="1">IF(D14*E14=0,"0",D14*E14)</f>
        <v>0.81599999999999995</v>
      </c>
      <c r="G14" s="146">
        <f>E14/128</f>
        <v>1.328125E-2</v>
      </c>
      <c r="H14">
        <f>'Chem&amp;FertInputs&amp;CInsurance'!U22</f>
        <v>1.7</v>
      </c>
      <c r="I14">
        <f>'Chem&amp;FertInputs&amp;CInsurance'!U23</f>
        <v>1.7</v>
      </c>
    </row>
    <row r="15" spans="1:32" ht="20">
      <c r="A15" s="3"/>
      <c r="B15" s="72" t="str">
        <f>'Chem&amp;FertInputs&amp;CInsurance'!B24</f>
        <v>Adjuvant - Ammonium Sulfate  (other)-</v>
      </c>
      <c r="C15" s="16" t="str">
        <f>'Chem&amp;FertInputs&amp;CInsurance'!D24</f>
        <v>pound</v>
      </c>
      <c r="D15" s="100">
        <f>'Chem&amp;FertInputs&amp;CInsurance'!E24</f>
        <v>0.71</v>
      </c>
      <c r="E15" s="116">
        <f>'Chem&amp;FertInputs&amp;CInsurance'!U24</f>
        <v>0</v>
      </c>
      <c r="F15" s="101" t="str">
        <f t="shared" si="1"/>
        <v>0</v>
      </c>
      <c r="G15" s="146">
        <f>E15/16</f>
        <v>0</v>
      </c>
      <c r="H15">
        <f>'Chem&amp;FertInputs&amp;CInsurance'!U25</f>
        <v>0</v>
      </c>
      <c r="I15">
        <f>'Chem&amp;FertInputs&amp;CInsurance'!U26</f>
        <v>0</v>
      </c>
    </row>
    <row r="16" spans="1:32"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'Chem&amp;FertInputs&amp;CInsurance'!U27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'Chem&amp;FertInputs&amp;CInsurance'!U28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'Chem&amp;FertInputs&amp;CInsurance'!U29</f>
        <v>4.5</v>
      </c>
      <c r="F18" s="101">
        <f t="shared" si="1"/>
        <v>1.1385000000000001</v>
      </c>
      <c r="G18" s="146">
        <f>E18/128</f>
        <v>3.515625E-2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'Chem&amp;FertInputs&amp;CInsurance'!U30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'Chem&amp;FertInputs&amp;CInsurance'!U31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'Chem&amp;FertInputs&amp;CInsurance'!U33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'Chem&amp;FertInputs&amp;CInsurance'!U34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'Chem&amp;FertInputs&amp;CInsurance'!U35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'Chem&amp;FertInputs&amp;CInsurance'!U36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'Chem&amp;FertInputs&amp;CInsurance'!U37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'Chem&amp;FertInputs&amp;CInsurance'!U38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'Chem&amp;FertInputs&amp;CInsurance'!U39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'Chem&amp;FertInputs&amp;CInsurance'!U40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'Chem&amp;FertInputs&amp;CInsurance'!U41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'Chem&amp;FertInputs&amp;CInsurance'!U42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'Chem&amp;FertInputs&amp;CInsurance'!U43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'Chem&amp;FertInputs&amp;CInsurance'!U44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'Chem&amp;FertInputs&amp;CInsurance'!U45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'Chem&amp;FertInputs&amp;CInsurance'!U46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'Chem&amp;FertInputs&amp;CInsurance'!U47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'Chem&amp;FertInputs&amp;CInsurance'!U48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'Chem&amp;FertInputs&amp;CInsurance'!U49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'Chem&amp;FertInputs&amp;CInsurance'!U50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'Chem&amp;FertInputs&amp;CInsurance'!U51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'Chem&amp;FertInputs&amp;CInsurance'!U52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'Chem&amp;FertInputs&amp;CInsurance'!U53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'Chem&amp;FertInputs&amp;CInsurance'!U54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'Chem&amp;FertInputs&amp;CInsurance'!U55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'Chem&amp;FertInputs&amp;CInsurance'!U56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'Chem&amp;FertInputs&amp;CInsurance'!U57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'Chem&amp;FertInputs&amp;CInsurance'!U58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'Chem&amp;FertInputs&amp;CInsurance'!U59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'Chem&amp;FertInputs&amp;CInsurance'!U60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'Chem&amp;FertInputs&amp;CInsurance'!U61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'Chem&amp;FertInputs&amp;CInsurance'!U62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'Chem&amp;FertInputs&amp;CInsurance'!U63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'Chem&amp;FertInputs&amp;CInsurance'!U64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'Chem&amp;FertInputs&amp;CInsurance'!U65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'Chem&amp;FertInputs&amp;CInsurance'!U66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'Chem&amp;FertInputs&amp;CInsurance'!U67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'Chem&amp;FertInputs&amp;CInsurance'!U68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'Chem&amp;FertInputs&amp;CInsurance'!U69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'Chem&amp;FertInputs&amp;CInsurance'!U70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'Chem&amp;FertInputs&amp;CInsurance'!U71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'Chem&amp;FertInputs&amp;CInsurance'!U72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'Chem&amp;FertInputs&amp;CInsurance'!U32</f>
        <v>36</v>
      </c>
      <c r="F61" s="101">
        <f t="shared" si="0"/>
        <v>5.3819999999999997</v>
      </c>
      <c r="G61" s="191">
        <f>E61/128</f>
        <v>0.28125</v>
      </c>
    </row>
    <row r="62" spans="1:7" ht="20">
      <c r="A62" s="3"/>
      <c r="B62" s="122" t="s">
        <v>86</v>
      </c>
      <c r="C62" s="16"/>
      <c r="D62" s="100"/>
      <c r="E62" s="116"/>
      <c r="F62" s="101"/>
      <c r="G62" s="146">
        <f>SUM(G14:G61)</f>
        <v>0.59101562500000004</v>
      </c>
    </row>
    <row r="63" spans="1:7" ht="20">
      <c r="A63" s="3"/>
      <c r="B63" s="108" t="str">
        <f>CustomRates!B5</f>
        <v>Aerial (Custom)</v>
      </c>
      <c r="C63" s="32" t="str">
        <f>CustomRates!C5</f>
        <v>acre</v>
      </c>
      <c r="D63" s="100">
        <f>CustomRates!S5</f>
        <v>8.9499999999999993</v>
      </c>
      <c r="E63" s="74">
        <f>CustomRates!S6</f>
        <v>0</v>
      </c>
      <c r="F63" s="101" t="str">
        <f t="shared" ref="F63:F70" si="11">IF(D63*E63=0,"0",D63*E63)</f>
        <v>0</v>
      </c>
    </row>
    <row r="64" spans="1:7" ht="20">
      <c r="A64" s="3"/>
      <c r="B64" s="108" t="str">
        <f>CustomRates!B7</f>
        <v>Sprayer (Rental 90')</v>
      </c>
      <c r="C64" s="32" t="str">
        <f>CustomRates!C7</f>
        <v>acre</v>
      </c>
      <c r="D64" s="100">
        <f>CustomRates!S7</f>
        <v>8</v>
      </c>
      <c r="E64" s="74">
        <f>CustomRates!S8</f>
        <v>1</v>
      </c>
      <c r="F64" s="101">
        <f t="shared" si="11"/>
        <v>8</v>
      </c>
    </row>
    <row r="65" spans="1:9" ht="20">
      <c r="A65" s="3"/>
      <c r="B65" s="108" t="str">
        <f>CustomRates!B9</f>
        <v>Fertilizer - Anhydrous Applicator (Rent)</v>
      </c>
      <c r="C65" s="32" t="str">
        <f>CustomRates!C9</f>
        <v>acre</v>
      </c>
      <c r="D65" s="100">
        <f>CustomRates!S9</f>
        <v>7</v>
      </c>
      <c r="E65" s="74">
        <f>CustomRates!S10</f>
        <v>0</v>
      </c>
      <c r="F65" s="101" t="str">
        <f t="shared" si="11"/>
        <v>0</v>
      </c>
    </row>
    <row r="66" spans="1:9" ht="20">
      <c r="A66" s="3"/>
      <c r="B66" s="108" t="str">
        <f>CustomRates!B11</f>
        <v>Fertilizer Applicator</v>
      </c>
      <c r="C66" s="32" t="str">
        <f>CustomRates!C11</f>
        <v>acre</v>
      </c>
      <c r="D66" s="100">
        <f>CustomRates!S11</f>
        <v>2</v>
      </c>
      <c r="E66" s="74">
        <f>CustomRates!S12</f>
        <v>0</v>
      </c>
      <c r="F66" s="101" t="str">
        <f t="shared" si="11"/>
        <v>0</v>
      </c>
    </row>
    <row r="67" spans="1:9" ht="20">
      <c r="A67" s="3"/>
      <c r="B67" s="108" t="str">
        <f>CustomRates!B13</f>
        <v>26' Rental Shredder</v>
      </c>
      <c r="C67" s="32" t="str">
        <f>CustomRates!C13</f>
        <v>acre</v>
      </c>
      <c r="D67" s="100">
        <f>CustomRates!S13</f>
        <v>10</v>
      </c>
      <c r="E67" s="74">
        <f>CustomRates!S14</f>
        <v>0</v>
      </c>
      <c r="F67" s="101" t="str">
        <f t="shared" si="11"/>
        <v>0</v>
      </c>
    </row>
    <row r="68" spans="1:9" ht="20">
      <c r="A68" s="3"/>
      <c r="B68" s="108" t="str">
        <f>CustomRates!B15</f>
        <v>36' Ripper Shooter</v>
      </c>
      <c r="C68" s="32" t="str">
        <f>CustomRates!C15</f>
        <v>acre</v>
      </c>
      <c r="D68" s="100">
        <f>CustomRates!S15</f>
        <v>2.5</v>
      </c>
      <c r="E68" s="74">
        <f>CustomRates!S16</f>
        <v>0</v>
      </c>
      <c r="F68" s="101" t="str">
        <f t="shared" si="11"/>
        <v>0</v>
      </c>
    </row>
    <row r="69" spans="1:9" ht="20">
      <c r="A69" s="3"/>
      <c r="B69" s="108" t="str">
        <f>CustomRates!B17</f>
        <v>Custom self-propelled sprayer</v>
      </c>
      <c r="C69" s="32" t="str">
        <f>CustomRates!C17</f>
        <v>acre</v>
      </c>
      <c r="D69" s="100">
        <f>CustomRates!S17</f>
        <v>8</v>
      </c>
      <c r="E69" s="74">
        <f>CustomRates!S18</f>
        <v>0</v>
      </c>
      <c r="F69" s="101" t="str">
        <f t="shared" si="11"/>
        <v>0</v>
      </c>
    </row>
    <row r="70" spans="1:9" ht="20">
      <c r="A70" s="3"/>
      <c r="B70" s="108" t="str">
        <f>CustomRates!B19</f>
        <v>Additional Operation #8 (Custom)</v>
      </c>
      <c r="C70" s="32" t="str">
        <f>CustomRates!C19</f>
        <v>acre</v>
      </c>
      <c r="D70" s="100">
        <f>CustomRates!S19</f>
        <v>0</v>
      </c>
      <c r="E70" s="74">
        <f>CustomRates!S20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FieldApplications!$R$6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FieldApplications!$R$6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FieldApplications!$R$6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FieldApplications!$R$7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FieldApplications!$R$7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FieldApplications!$R$7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FieldApplications!$R$8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FieldApplications!$R$8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FieldApplications!$R$8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FieldApplications!$R$9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FieldApplications!$R$9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FieldApplications!$R$9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FieldApplications!$R$10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FieldApplications!$R$10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FieldApplications!$R$10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FieldApplications!$R$11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FieldApplications!$R$11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FieldApplications!$R$11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FieldApplications!$R$12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FieldApplications!$R$12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FieldApplications!$R$12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FieldApplications!$R$13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FieldApplications!$R$13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FieldApplications!$R$13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FieldApplications!$R$14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FieldApplications!$R$14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FieldApplications!$R$14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FieldApplications!$R$15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FieldApplications!$R$15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FieldApplications!$R$15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FieldApplications!$R$16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FieldApplications!$R$16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FieldApplications!$R$16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'Chem&amp;FertInputs&amp;CInsurance'!U73</f>
        <v>22</v>
      </c>
      <c r="E115" s="74">
        <v>1</v>
      </c>
      <c r="F115" s="101">
        <f>IF(D115*E115=0,"0",D115*E115)</f>
        <v>22</v>
      </c>
      <c r="H115" t="s">
        <v>181</v>
      </c>
      <c r="I115" t="s">
        <v>181</v>
      </c>
    </row>
    <row r="116" spans="1:13" ht="20">
      <c r="A116" s="3"/>
      <c r="B116" s="72" t="s">
        <v>72</v>
      </c>
      <c r="C116" s="32" t="s">
        <v>83</v>
      </c>
      <c r="D116" s="95">
        <f>MachineAssumptions!D25</f>
        <v>0.05</v>
      </c>
      <c r="E116" s="74"/>
      <c r="F116" s="73">
        <f>SUM(F8:F115)*D116</f>
        <v>10.619807341009542</v>
      </c>
      <c r="G116" t="s">
        <v>111</v>
      </c>
      <c r="H116" s="40">
        <f>(SUM($F8:$F70)+$F115+SUM(H72:H113))*$D116</f>
        <v>10.620533445260486</v>
      </c>
      <c r="I116" s="40">
        <f>(SUM($F8:$F70)+$F115+SUM(I72:I113))*$D116</f>
        <v>10.4796506053816</v>
      </c>
      <c r="J116" s="40">
        <f>F72+F75+F78+F81+F84+F87+F90+F93+F96+F99+F102+F105+F108+F111</f>
        <v>16.129930432071912</v>
      </c>
      <c r="K116" t="s">
        <v>111</v>
      </c>
    </row>
    <row r="117" spans="1:13" ht="20">
      <c r="A117" s="3"/>
      <c r="B117" s="72" t="s">
        <v>84</v>
      </c>
      <c r="C117" s="32" t="s">
        <v>83</v>
      </c>
      <c r="D117" s="95">
        <f>MachineAssumptions!D26</f>
        <v>6.7500000000000004E-2</v>
      </c>
      <c r="E117" s="96"/>
      <c r="F117" s="123">
        <f>SUM(F7:F116)*(D117/12*MachineAssumptions!D27)</f>
        <v>11.290182679410769</v>
      </c>
      <c r="G117" t="s">
        <v>4</v>
      </c>
      <c r="H117" s="40">
        <f>(SUM(F8:F70)+(F115+F116+H114))*((D117/12)*MachineAssumptions!D27)</f>
        <v>11.29091785996485</v>
      </c>
      <c r="I117" s="40">
        <f>(SUM(F8:F70)+(F115+F116+I114))*((D117/12)*MachineAssumptions!D27)</f>
        <v>11.148273984587478</v>
      </c>
      <c r="J117" s="40">
        <f>F73+F76+F79+F82+F85+F88+F91+F94+F97+F100+F103+F106+F109+F112</f>
        <v>37.921401983080372</v>
      </c>
      <c r="K117" t="s">
        <v>4</v>
      </c>
    </row>
    <row r="118" spans="1:13" ht="20">
      <c r="A118" s="3"/>
      <c r="B118" s="9" t="s">
        <v>85</v>
      </c>
      <c r="C118" s="22"/>
      <c r="D118" s="124"/>
      <c r="E118" s="125"/>
      <c r="F118" s="126">
        <f>SUM(F8:F117)</f>
        <v>234.30613684061115</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258.34724631708173</v>
      </c>
      <c r="H137" s="38">
        <f>SUM(F16:F70)+H114+F115+H116+H117+H135+F8+(H9*D9)+(H10*D10)+(H11*D11)+(H12*D12)+(H13*D13)+(H14*D14)+(H15*D15)</f>
        <v>258.36286583434912</v>
      </c>
      <c r="I137" s="38">
        <f>SUM(F16:F70)+I114+F115+I116+I117+I135+F8+(I9*D9)+(I10*D10)+(I11*D11)+(I12*D12)+(I13*D13)+(I14*D14)+(I15*D15)</f>
        <v>255.26204617407174</v>
      </c>
    </row>
    <row r="138" spans="1:9" ht="21">
      <c r="A138" s="3"/>
      <c r="B138" s="24" t="s">
        <v>32</v>
      </c>
      <c r="C138" s="25"/>
      <c r="D138" s="26"/>
      <c r="E138" s="25"/>
      <c r="F138" s="39">
        <f>F5-F137</f>
        <v>23.592753682918271</v>
      </c>
      <c r="H138" s="215">
        <f>H5-H137</f>
        <v>23.577134165650875</v>
      </c>
      <c r="I138" s="215">
        <f>I5-I137</f>
        <v>26.677953825928256</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F134 E121:F123 E124:F124 B121:C124 B84:B89 B125:F126 C13:D13 B62:E62 C14:D14 B118:F120 B117:E117 C9:D9 C10:D10 C11:D11 C12:D12 F14 B61:D61 D4:F4 C5:F7 B4:B7 B3:F3 C4 C8:F8 B71:E71 B63:C63 B64:C64 B65:C65 B66:C66 B67:C67 B68:C68 B69:C69 B70:C70 D63:E70 B2 B73:B83 B72 D72:E72 D90:E113 D84:F89 D73:E83 G124 G127:G134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ACE2-2CE4-8E4A-981C-E97117BE6C21}">
  <sheetPr codeName="Sheet46">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0" hidden="1" customWidth="1"/>
  </cols>
  <sheetData>
    <row r="1" spans="1:34" ht="20">
      <c r="A1" s="302" t="s">
        <v>8</v>
      </c>
      <c r="B1" s="20"/>
      <c r="C1" s="5"/>
      <c r="D1" s="10"/>
      <c r="E1" s="5"/>
      <c r="F1" s="5"/>
    </row>
    <row r="2" spans="1:34" ht="20">
      <c r="A2" s="3"/>
      <c r="B2" s="709" t="str">
        <f>'Prices_Yields&amp;SeedInputs'!B21&amp;", Cash Costs and Returns of Producing, $/acre."</f>
        <v>Roundup Ready Spring Canola, Cash Costs and Returns of Producing, $/acre.</v>
      </c>
      <c r="C2" s="709"/>
      <c r="D2" s="709"/>
      <c r="E2" s="709"/>
      <c r="F2" s="709"/>
    </row>
    <row r="3" spans="1:34" ht="20">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'Prices_Yields&amp;SeedInputs'!B21</f>
        <v>Roundup Ready Spring Canola</v>
      </c>
      <c r="C4" s="15" t="str">
        <f>'Prices_Yields&amp;SeedInputs'!C21</f>
        <v>lb</v>
      </c>
      <c r="D4" s="10">
        <f>'Prices_Yields&amp;SeedInputs'!D21</f>
        <v>0.15</v>
      </c>
      <c r="E4" s="77">
        <f>'Prices_Yields&amp;SeedInputs'!E21</f>
        <v>1800</v>
      </c>
      <c r="F4" s="28">
        <f>D4*E4</f>
        <v>270</v>
      </c>
      <c r="AG4" s="579"/>
      <c r="AH4" s="579"/>
    </row>
    <row r="5" spans="1:34" ht="20">
      <c r="A5" s="3"/>
      <c r="B5" s="9" t="s">
        <v>14</v>
      </c>
      <c r="C5" s="22"/>
      <c r="D5" s="23"/>
      <c r="E5" s="22"/>
      <c r="F5" s="37">
        <f>SUM(F4:F4)</f>
        <v>270</v>
      </c>
      <c r="H5">
        <f>D4*'Prices_Yields&amp;SeedInputs'!F21</f>
        <v>270</v>
      </c>
      <c r="I5">
        <f>D4*'Prices_Yields&amp;SeedInputs'!G21</f>
        <v>270</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'Prices_Yields&amp;SeedInputs'!H21</f>
        <v>pound</v>
      </c>
      <c r="D8" s="73">
        <f>'Prices_Yields&amp;SeedInputs'!I21</f>
        <v>11.2</v>
      </c>
      <c r="E8" s="116">
        <f>'Prices_Yields&amp;SeedInputs'!J21</f>
        <v>4</v>
      </c>
      <c r="F8" s="101">
        <f t="shared" ref="F8:F61" si="0">IF(D8*E8=0,"0",D8*E8)</f>
        <v>44.8</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'Chem&amp;FertInputs&amp;CInsurance'!V6</f>
        <v>90</v>
      </c>
      <c r="F9" s="101">
        <f t="shared" si="0"/>
        <v>43.875</v>
      </c>
      <c r="H9">
        <f>'Chem&amp;FertInputs&amp;CInsurance'!V7</f>
        <v>90</v>
      </c>
      <c r="I9">
        <f>'Chem&amp;FertInputs&amp;CInsurance'!V8</f>
        <v>90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'Chem&amp;FertInputs&amp;CInsurance'!V9</f>
        <v>0</v>
      </c>
      <c r="F10" s="101" t="str">
        <f t="shared" si="0"/>
        <v>0</v>
      </c>
      <c r="H10">
        <f>'Chem&amp;FertInputs&amp;CInsurance'!V10</f>
        <v>0</v>
      </c>
      <c r="I10">
        <f>'Chem&amp;FertInputs&amp;CInsurance'!V11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'Chem&amp;FertInputs&amp;CInsurance'!V12</f>
        <v>8</v>
      </c>
      <c r="F11" s="101">
        <f t="shared" si="0"/>
        <v>3.8</v>
      </c>
      <c r="H11">
        <f>'Chem&amp;FertInputs&amp;CInsurance'!V13</f>
        <v>8</v>
      </c>
      <c r="I11">
        <f>'Chem&amp;FertInputs&amp;CInsurance'!V14</f>
        <v>8</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'Chem&amp;FertInputs&amp;CInsurance'!V15</f>
        <v>0</v>
      </c>
      <c r="F12" s="101" t="str">
        <f t="shared" si="0"/>
        <v>0</v>
      </c>
      <c r="H12">
        <f>'Chem&amp;FertInputs&amp;CInsurance'!V16</f>
        <v>0</v>
      </c>
      <c r="I12">
        <f>'Chem&amp;FertInputs&amp;CInsurance'!V17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'Chem&amp;FertInputs&amp;CInsurance'!V18</f>
        <v>17</v>
      </c>
      <c r="F13" s="101">
        <f t="shared" si="0"/>
        <v>4.3434999999999997</v>
      </c>
      <c r="H13">
        <f>'Chem&amp;FertInputs&amp;CInsurance'!V19</f>
        <v>17</v>
      </c>
      <c r="I13">
        <f>'Chem&amp;FertInputs&amp;CInsurance'!V20</f>
        <v>17</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'Chem&amp;FertInputs&amp;CInsurance'!V21</f>
        <v>5.0999999999999996</v>
      </c>
      <c r="F14" s="101">
        <f t="shared" ref="F14:F20" si="1">IF(D14*E14=0,"0",D14*E14)</f>
        <v>2.448</v>
      </c>
      <c r="G14" s="146">
        <f>E14/128</f>
        <v>3.9843749999999997E-2</v>
      </c>
      <c r="H14">
        <f>'Chem&amp;FertInputs&amp;CInsurance'!V22</f>
        <v>5.0999999999999996</v>
      </c>
      <c r="I14">
        <f>'Chem&amp;FertInputs&amp;CInsurance'!V23</f>
        <v>5.0999999999999996</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'Chem&amp;FertInputs&amp;CInsurance'!V24</f>
        <v>0</v>
      </c>
      <c r="F15" s="101" t="str">
        <f t="shared" si="1"/>
        <v>0</v>
      </c>
      <c r="G15" s="146">
        <f>E15/16</f>
        <v>0</v>
      </c>
      <c r="H15">
        <f>'Chem&amp;FertInputs&amp;CInsurance'!V25</f>
        <v>0</v>
      </c>
      <c r="I15">
        <f>'Chem&amp;FertInputs&amp;CInsurance'!V26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'Chem&amp;FertInputs&amp;CInsurance'!V27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'Chem&amp;FertInputs&amp;CInsurance'!V28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'Chem&amp;FertInputs&amp;CInsurance'!V29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'Chem&amp;FertInputs&amp;CInsurance'!V30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'Chem&amp;FertInputs&amp;CInsurance'!V31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'Chem&amp;FertInputs&amp;CInsurance'!V33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'Chem&amp;FertInputs&amp;CInsurance'!V34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'Chem&amp;FertInputs&amp;CInsurance'!V35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'Chem&amp;FertInputs&amp;CInsurance'!V36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'Chem&amp;FertInputs&amp;CInsurance'!V37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'Chem&amp;FertInputs&amp;CInsurance'!V38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'Chem&amp;FertInputs&amp;CInsurance'!V39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'Chem&amp;FertInputs&amp;CInsurance'!V40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'Chem&amp;FertInputs&amp;CInsurance'!V41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'Chem&amp;FertInputs&amp;CInsurance'!V42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'Chem&amp;FertInputs&amp;CInsurance'!V43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'Chem&amp;FertInputs&amp;CInsurance'!V44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'Chem&amp;FertInputs&amp;CInsurance'!V45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'Chem&amp;FertInputs&amp;CInsurance'!V46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'Chem&amp;FertInputs&amp;CInsurance'!V47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'Chem&amp;FertInputs&amp;CInsurance'!V48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'Chem&amp;FertInputs&amp;CInsurance'!V49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'Chem&amp;FertInputs&amp;CInsurance'!V50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'Chem&amp;FertInputs&amp;CInsurance'!V51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'Chem&amp;FertInputs&amp;CInsurance'!V52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'Chem&amp;FertInputs&amp;CInsurance'!V53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'Chem&amp;FertInputs&amp;CInsurance'!V54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'Chem&amp;FertInputs&amp;CInsurance'!V55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'Chem&amp;FertInputs&amp;CInsurance'!V56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'Chem&amp;FertInputs&amp;CInsurance'!V57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'Chem&amp;FertInputs&amp;CInsurance'!V58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'Chem&amp;FertInputs&amp;CInsurance'!V59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'Chem&amp;FertInputs&amp;CInsurance'!V60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'Chem&amp;FertInputs&amp;CInsurance'!V61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'Chem&amp;FertInputs&amp;CInsurance'!V62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'Chem&amp;FertInputs&amp;CInsurance'!V63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'Chem&amp;FertInputs&amp;CInsurance'!V64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'Chem&amp;FertInputs&amp;CInsurance'!V65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'Chem&amp;FertInputs&amp;CInsurance'!V66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'Chem&amp;FertInputs&amp;CInsurance'!V67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'Chem&amp;FertInputs&amp;CInsurance'!V68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'Chem&amp;FertInputs&amp;CInsurance'!V69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'Chem&amp;FertInputs&amp;CInsurance'!V70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'Chem&amp;FertInputs&amp;CInsurance'!V71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'Chem&amp;FertInputs&amp;CInsurance'!V72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'Chem&amp;FertInputs&amp;CInsurance'!V32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CustomRates!T5</f>
        <v>8.9499999999999993</v>
      </c>
      <c r="E63" s="74">
        <f>CustomRates!T6</f>
        <v>2</v>
      </c>
      <c r="F63" s="101">
        <f t="shared" ref="F63:F70" si="11">IF(D63*E63=0,"0",D63*E63)</f>
        <v>17.899999999999999</v>
      </c>
    </row>
    <row r="64" spans="1:7" ht="20">
      <c r="A64" s="3"/>
      <c r="B64" s="108" t="str">
        <f>CustomRates!B7</f>
        <v>Sprayer (Rental 90')</v>
      </c>
      <c r="C64" s="32" t="str">
        <f>CustomRates!C7</f>
        <v>acre</v>
      </c>
      <c r="D64" s="100">
        <f>CustomRates!T7</f>
        <v>8</v>
      </c>
      <c r="E64" s="74">
        <f>CustomRates!T8</f>
        <v>0</v>
      </c>
      <c r="F64" s="101" t="str">
        <f t="shared" si="11"/>
        <v>0</v>
      </c>
    </row>
    <row r="65" spans="1:9" ht="20">
      <c r="A65" s="3"/>
      <c r="B65" s="108" t="str">
        <f>CustomRates!B9</f>
        <v>Fertilizer - Anhydrous Applicator (Rent)</v>
      </c>
      <c r="C65" s="32" t="str">
        <f>CustomRates!C9</f>
        <v>acre</v>
      </c>
      <c r="D65" s="100">
        <f>CustomRates!T9</f>
        <v>7</v>
      </c>
      <c r="E65" s="74">
        <f>CustomRates!T10</f>
        <v>0</v>
      </c>
      <c r="F65" s="101" t="str">
        <f t="shared" si="11"/>
        <v>0</v>
      </c>
    </row>
    <row r="66" spans="1:9" ht="20">
      <c r="A66" s="3"/>
      <c r="B66" s="108" t="str">
        <f>CustomRates!B11</f>
        <v>Fertilizer Applicator</v>
      </c>
      <c r="C66" s="32" t="str">
        <f>CustomRates!C11</f>
        <v>acre</v>
      </c>
      <c r="D66" s="100">
        <f>CustomRates!T11</f>
        <v>22</v>
      </c>
      <c r="E66" s="74">
        <f>CustomRates!T12</f>
        <v>0</v>
      </c>
      <c r="F66" s="101" t="str">
        <f t="shared" si="11"/>
        <v>0</v>
      </c>
    </row>
    <row r="67" spans="1:9" ht="20">
      <c r="A67" s="3"/>
      <c r="B67" s="108" t="str">
        <f>CustomRates!B13</f>
        <v>26' Rental Shredder</v>
      </c>
      <c r="C67" s="32" t="str">
        <f>CustomRates!C13</f>
        <v>acre</v>
      </c>
      <c r="D67" s="100">
        <f>CustomRates!T13</f>
        <v>10</v>
      </c>
      <c r="E67" s="74">
        <f>CustomRates!T14</f>
        <v>0</v>
      </c>
      <c r="F67" s="101" t="str">
        <f t="shared" si="11"/>
        <v>0</v>
      </c>
    </row>
    <row r="68" spans="1:9" ht="20">
      <c r="A68" s="3"/>
      <c r="B68" s="108" t="str">
        <f>CustomRates!B15</f>
        <v>36' Ripper Shooter</v>
      </c>
      <c r="C68" s="32" t="str">
        <f>CustomRates!C15</f>
        <v>acre</v>
      </c>
      <c r="D68" s="100">
        <f>CustomRates!T15</f>
        <v>2.5</v>
      </c>
      <c r="E68" s="74">
        <f>CustomRates!T16</f>
        <v>0</v>
      </c>
      <c r="F68" s="101" t="str">
        <f t="shared" si="11"/>
        <v>0</v>
      </c>
    </row>
    <row r="69" spans="1:9" ht="20">
      <c r="A69" s="3"/>
      <c r="B69" s="108" t="str">
        <f>CustomRates!B17</f>
        <v>Custom self-propelled sprayer</v>
      </c>
      <c r="C69" s="32" t="str">
        <f>CustomRates!C17</f>
        <v>acre</v>
      </c>
      <c r="D69" s="100">
        <f>CustomRates!T17</f>
        <v>8</v>
      </c>
      <c r="E69" s="74">
        <f>CustomRates!T18</f>
        <v>0</v>
      </c>
      <c r="F69" s="101" t="str">
        <f t="shared" si="11"/>
        <v>0</v>
      </c>
    </row>
    <row r="70" spans="1:9" ht="20">
      <c r="A70" s="3"/>
      <c r="B70" s="108" t="str">
        <f>CustomRates!B19</f>
        <v>Additional Operation #8 (Custom)</v>
      </c>
      <c r="C70" s="32" t="str">
        <f>CustomRates!C19</f>
        <v>acre</v>
      </c>
      <c r="D70" s="100">
        <f>CustomRates!T19</f>
        <v>0</v>
      </c>
      <c r="E70" s="74">
        <f>CustomRates!T20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FieldApplications!$S$6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FieldApplications!$S$6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FieldApplications!$S$6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FieldApplications!$S$7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FieldApplications!$S$7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FieldApplications!$S$7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FieldApplications!$S$8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FieldApplications!$S$8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FieldApplications!$S$8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FieldApplications!$S$9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FieldApplications!$S$9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FieldApplications!$S$9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FieldApplications!$S$10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FieldApplications!$S$10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FieldApplications!$S$10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FieldApplications!$S$11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FieldApplications!$S$11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FieldApplications!$S$11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FieldApplications!$S$12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FieldApplications!$S$12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FieldApplications!$S$12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FieldApplications!$S$13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FieldApplications!$S$13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FieldApplications!$S$13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FieldApplications!$S$14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FieldApplications!$S$14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FieldApplications!$S$14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FieldApplications!$S$15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FieldApplications!$S$15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FieldApplications!$S$15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FieldApplications!$S$16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FieldApplications!$S$16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FieldApplications!$S$16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'Chem&amp;FertInputs&amp;CInsurance'!V73</f>
        <v>18</v>
      </c>
      <c r="E115" s="74">
        <v>1</v>
      </c>
      <c r="F115" s="101">
        <f>IF(D115*E115=0,"0",D115*E115)</f>
        <v>18</v>
      </c>
      <c r="H115" t="s">
        <v>181</v>
      </c>
      <c r="I115" t="s">
        <v>181</v>
      </c>
    </row>
    <row r="116" spans="1:13" ht="20">
      <c r="A116" s="3"/>
      <c r="B116" s="72" t="s">
        <v>72</v>
      </c>
      <c r="C116" s="32" t="s">
        <v>83</v>
      </c>
      <c r="D116" s="95">
        <f>MachineAssumptions!D25</f>
        <v>0.05</v>
      </c>
      <c r="E116" s="74"/>
      <c r="F116" s="73">
        <f>SUM(F8:F115)*D116</f>
        <v>11.697302341009545</v>
      </c>
      <c r="G116" t="s">
        <v>111</v>
      </c>
      <c r="H116" s="40">
        <f>(SUM($F8:$F70)+$F115+SUM(H72:H113))*$D116</f>
        <v>11.698028445260489</v>
      </c>
      <c r="I116" s="40">
        <f>(SUM($F8:$F70)+$F115+SUM(I72:I113))*$D116</f>
        <v>11.557145605381603</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12.435694551285771</v>
      </c>
      <c r="G117" t="s">
        <v>4</v>
      </c>
      <c r="H117" s="40">
        <f>(SUM(F8:F70)+(F115+F116+H114))*((D117/12)*MachineAssumptions!D27)</f>
        <v>12.436429731839853</v>
      </c>
      <c r="I117" s="40">
        <f>(SUM(F8:F70)+(F115+F116+I114))*((D117/12)*MachineAssumptions!D27)</f>
        <v>12.293785856462481</v>
      </c>
      <c r="J117" s="40">
        <f>F73+F76+F79+F82+F85+F88+F91+F94+F97+F100+F103+F106+F109+F112</f>
        <v>37.921401983080372</v>
      </c>
      <c r="K117" t="s">
        <v>4</v>
      </c>
    </row>
    <row r="118" spans="1:13" ht="20">
      <c r="A118" s="3"/>
      <c r="B118" s="9" t="s">
        <v>85</v>
      </c>
      <c r="C118" s="22"/>
      <c r="D118" s="124"/>
      <c r="E118" s="125"/>
      <c r="F118" s="126">
        <f>SUM(F8:F117)</f>
        <v>258.07904371248617</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282.12015318895675</v>
      </c>
      <c r="H137" s="38">
        <f>SUM(F16:F70)+H114+F115+H116+H117+H135+F8+(H9*D9)+(H10*D10)+(H11*D11)+(H12*D12)+(H13*D13)+(H14*D14)+(H15*D15)</f>
        <v>282.1357727062242</v>
      </c>
      <c r="I137" s="38">
        <f>SUM(F16:F70)+I114+F115+I116+I117+I135+F8+(I9*D9)+(I10*D10)+(I11*D11)+(I12*D12)+(I13*D13)+(I14*D14)+(I15*D15)</f>
        <v>279.03495304594668</v>
      </c>
    </row>
    <row r="138" spans="1:9" ht="21">
      <c r="A138" s="3"/>
      <c r="B138" s="24" t="s">
        <v>32</v>
      </c>
      <c r="C138" s="25"/>
      <c r="D138" s="26"/>
      <c r="E138" s="25"/>
      <c r="F138" s="39">
        <f>F5-F137</f>
        <v>-12.120153188956749</v>
      </c>
      <c r="H138" s="215">
        <f>H5-H137</f>
        <v>-12.135772706224202</v>
      </c>
      <c r="I138" s="215">
        <f>I5-I137</f>
        <v>-9.0349530459466791</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EBF5-F240-6A41-A445-0D1711397E25}">
  <sheetPr codeName="Sheet2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'Prices_Yields&amp;SeedInputs'!B22&amp;", Cash Costs and Returns of Producing, $/acre."</f>
        <v>Spring Canola,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'Prices_Yields&amp;SeedInputs'!B22</f>
        <v>Spring Canola</v>
      </c>
      <c r="C4" s="15" t="str">
        <f>'Prices_Yields&amp;SeedInputs'!C22</f>
        <v>lb</v>
      </c>
      <c r="D4" s="10">
        <f>'Prices_Yields&amp;SeedInputs'!D22</f>
        <v>0.15</v>
      </c>
      <c r="E4" s="77">
        <f>'Prices_Yields&amp;SeedInputs'!E22</f>
        <v>1800</v>
      </c>
      <c r="F4" s="28">
        <f>D4*E4</f>
        <v>270</v>
      </c>
      <c r="Q4" s="579"/>
      <c r="R4" s="579"/>
    </row>
    <row r="5" spans="1:18" ht="20">
      <c r="A5" s="3"/>
      <c r="B5" s="9" t="s">
        <v>14</v>
      </c>
      <c r="C5" s="22"/>
      <c r="D5" s="23"/>
      <c r="E5" s="22"/>
      <c r="F5" s="37">
        <f>SUM(F4:F4)</f>
        <v>270</v>
      </c>
      <c r="H5">
        <f>D4*'Prices_Yields&amp;SeedInputs'!F22</f>
        <v>270</v>
      </c>
      <c r="I5">
        <f>D4*'Prices_Yields&amp;SeedInputs'!G22</f>
        <v>270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'Prices_Yields&amp;SeedInputs'!H22</f>
        <v>pound</v>
      </c>
      <c r="D8" s="73">
        <f>'Prices_Yields&amp;SeedInputs'!I22</f>
        <v>0.4</v>
      </c>
      <c r="E8" s="116">
        <f>'Prices_Yields&amp;SeedInputs'!J22</f>
        <v>4</v>
      </c>
      <c r="F8" s="101">
        <f t="shared" ref="F8:F61" si="0">IF(D8*E8=0,"0",D8*E8)</f>
        <v>1.6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'Chem&amp;FertInputs&amp;CInsurance'!W6</f>
        <v>90</v>
      </c>
      <c r="F9" s="101">
        <f t="shared" si="0"/>
        <v>43.875</v>
      </c>
      <c r="H9">
        <f>'Chem&amp;FertInputs&amp;CInsurance'!W7</f>
        <v>90</v>
      </c>
      <c r="I9">
        <f>'Chem&amp;FertInputs&amp;CInsurance'!W8</f>
        <v>90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'Chem&amp;FertInputs&amp;CInsurance'!W9</f>
        <v>0</v>
      </c>
      <c r="F10" s="101" t="str">
        <f t="shared" si="0"/>
        <v>0</v>
      </c>
      <c r="H10">
        <f>'Chem&amp;FertInputs&amp;CInsurance'!W10</f>
        <v>0</v>
      </c>
      <c r="I10">
        <f>'Chem&amp;FertInputs&amp;CInsurance'!W11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'Chem&amp;FertInputs&amp;CInsurance'!W12</f>
        <v>8</v>
      </c>
      <c r="F11" s="101">
        <f t="shared" si="0"/>
        <v>3.8</v>
      </c>
      <c r="H11">
        <f>'Chem&amp;FertInputs&amp;CInsurance'!W13</f>
        <v>8</v>
      </c>
      <c r="I11">
        <f>'Chem&amp;FertInputs&amp;CInsurance'!W14</f>
        <v>8</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'Chem&amp;FertInputs&amp;CInsurance'!W15</f>
        <v>0</v>
      </c>
      <c r="F12" s="101" t="str">
        <f t="shared" si="0"/>
        <v>0</v>
      </c>
      <c r="H12">
        <f>'Chem&amp;FertInputs&amp;CInsurance'!W16</f>
        <v>0</v>
      </c>
      <c r="I12">
        <f>'Chem&amp;FertInputs&amp;CInsurance'!W17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'Chem&amp;FertInputs&amp;CInsurance'!W18</f>
        <v>17</v>
      </c>
      <c r="F13" s="101">
        <f t="shared" si="0"/>
        <v>4.3434999999999997</v>
      </c>
      <c r="H13">
        <f>'Chem&amp;FertInputs&amp;CInsurance'!W19</f>
        <v>17</v>
      </c>
      <c r="I13">
        <f>'Chem&amp;FertInputs&amp;CInsurance'!W20</f>
        <v>17</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'Chem&amp;FertInputs&amp;CInsurance'!W21</f>
        <v>5.0999999999999996</v>
      </c>
      <c r="F14" s="101">
        <f t="shared" ref="F14:F20" si="1">IF(D14*E14=0,"0",D14*E14)</f>
        <v>2.448</v>
      </c>
      <c r="G14" s="146">
        <f>E14/128</f>
        <v>3.9843749999999997E-2</v>
      </c>
      <c r="H14">
        <f>'Chem&amp;FertInputs&amp;CInsurance'!W22</f>
        <v>5.0999999999999996</v>
      </c>
      <c r="I14">
        <f>'Chem&amp;FertInputs&amp;CInsurance'!W23</f>
        <v>5.0999999999999996</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'Chem&amp;FertInputs&amp;CInsurance'!W24</f>
        <v>0</v>
      </c>
      <c r="F15" s="101" t="str">
        <f t="shared" si="1"/>
        <v>0</v>
      </c>
      <c r="G15" s="146">
        <f>E15/16</f>
        <v>0</v>
      </c>
      <c r="H15">
        <f>'Chem&amp;FertInputs&amp;CInsurance'!W25</f>
        <v>0</v>
      </c>
      <c r="I15">
        <f>'Chem&amp;FertInputs&amp;CInsurance'!W26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'Chem&amp;FertInputs&amp;CInsurance'!W27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'Chem&amp;FertInputs&amp;CInsurance'!W28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'Chem&amp;FertInputs&amp;CInsurance'!W29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'Chem&amp;FertInputs&amp;CInsurance'!W30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'Chem&amp;FertInputs&amp;CInsurance'!W31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'Chem&amp;FertInputs&amp;CInsurance'!W33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'Chem&amp;FertInputs&amp;CInsurance'!W34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'Chem&amp;FertInputs&amp;CInsurance'!W35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'Chem&amp;FertInputs&amp;CInsurance'!W36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'Chem&amp;FertInputs&amp;CInsurance'!W37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'Chem&amp;FertInputs&amp;CInsurance'!W38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'Chem&amp;FertInputs&amp;CInsurance'!W39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'Chem&amp;FertInputs&amp;CInsurance'!W40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'Chem&amp;FertInputs&amp;CInsurance'!W41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'Chem&amp;FertInputs&amp;CInsurance'!W42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'Chem&amp;FertInputs&amp;CInsurance'!W43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'Chem&amp;FertInputs&amp;CInsurance'!W44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'Chem&amp;FertInputs&amp;CInsurance'!W45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'Chem&amp;FertInputs&amp;CInsurance'!W46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'Chem&amp;FertInputs&amp;CInsurance'!W47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'Chem&amp;FertInputs&amp;CInsurance'!W48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'Chem&amp;FertInputs&amp;CInsurance'!W49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'Chem&amp;FertInputs&amp;CInsurance'!W50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'Chem&amp;FertInputs&amp;CInsurance'!W51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'Chem&amp;FertInputs&amp;CInsurance'!W52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'Chem&amp;FertInputs&amp;CInsurance'!W53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'Chem&amp;FertInputs&amp;CInsurance'!W54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'Chem&amp;FertInputs&amp;CInsurance'!W55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'Chem&amp;FertInputs&amp;CInsurance'!W56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'Chem&amp;FertInputs&amp;CInsurance'!W57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'Chem&amp;FertInputs&amp;CInsurance'!W58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'Chem&amp;FertInputs&amp;CInsurance'!W59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'Chem&amp;FertInputs&amp;CInsurance'!W60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'Chem&amp;FertInputs&amp;CInsurance'!W61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'Chem&amp;FertInputs&amp;CInsurance'!W62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'Chem&amp;FertInputs&amp;CInsurance'!W63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'Chem&amp;FertInputs&amp;CInsurance'!W64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'Chem&amp;FertInputs&amp;CInsurance'!W65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'Chem&amp;FertInputs&amp;CInsurance'!W66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'Chem&amp;FertInputs&amp;CInsurance'!W67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'Chem&amp;FertInputs&amp;CInsurance'!W68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'Chem&amp;FertInputs&amp;CInsurance'!W69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'Chem&amp;FertInputs&amp;CInsurance'!W70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'Chem&amp;FertInputs&amp;CInsurance'!W71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'Chem&amp;FertInputs&amp;CInsurance'!W72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'Chem&amp;FertInputs&amp;CInsurance'!W32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CustomRates!U5</f>
        <v>8.9499999999999993</v>
      </c>
      <c r="E63" s="74">
        <f>CustomRates!U6</f>
        <v>2</v>
      </c>
      <c r="F63" s="101">
        <f t="shared" ref="F63:F70" si="11">IF(D63*E63=0,"0",D63*E63)</f>
        <v>17.899999999999999</v>
      </c>
    </row>
    <row r="64" spans="1:7" ht="20">
      <c r="A64" s="3"/>
      <c r="B64" s="108" t="str">
        <f>CustomRates!B7</f>
        <v>Sprayer (Rental 90')</v>
      </c>
      <c r="C64" s="32" t="str">
        <f>CustomRates!C7</f>
        <v>acre</v>
      </c>
      <c r="D64" s="100">
        <f>CustomRates!U7</f>
        <v>8</v>
      </c>
      <c r="E64" s="74">
        <f>CustomRates!U8</f>
        <v>0</v>
      </c>
      <c r="F64" s="101" t="str">
        <f t="shared" si="11"/>
        <v>0</v>
      </c>
    </row>
    <row r="65" spans="1:9" ht="20">
      <c r="A65" s="3"/>
      <c r="B65" s="108" t="str">
        <f>CustomRates!B9</f>
        <v>Fertilizer - Anhydrous Applicator (Rent)</v>
      </c>
      <c r="C65" s="32" t="str">
        <f>CustomRates!C9</f>
        <v>acre</v>
      </c>
      <c r="D65" s="100">
        <f>CustomRates!U9</f>
        <v>7</v>
      </c>
      <c r="E65" s="74">
        <f>CustomRates!U10</f>
        <v>0</v>
      </c>
      <c r="F65" s="101" t="str">
        <f t="shared" si="11"/>
        <v>0</v>
      </c>
    </row>
    <row r="66" spans="1:9" ht="20">
      <c r="A66" s="3"/>
      <c r="B66" s="108" t="str">
        <f>CustomRates!B11</f>
        <v>Fertilizer Applicator</v>
      </c>
      <c r="C66" s="32" t="str">
        <f>CustomRates!C11</f>
        <v>acre</v>
      </c>
      <c r="D66" s="100">
        <f>CustomRates!U11</f>
        <v>22</v>
      </c>
      <c r="E66" s="74">
        <f>CustomRates!U12</f>
        <v>0</v>
      </c>
      <c r="F66" s="101" t="str">
        <f t="shared" si="11"/>
        <v>0</v>
      </c>
    </row>
    <row r="67" spans="1:9" ht="20">
      <c r="A67" s="3"/>
      <c r="B67" s="108" t="str">
        <f>CustomRates!B13</f>
        <v>26' Rental Shredder</v>
      </c>
      <c r="C67" s="32" t="str">
        <f>CustomRates!C13</f>
        <v>acre</v>
      </c>
      <c r="D67" s="100">
        <f>CustomRates!U13</f>
        <v>10</v>
      </c>
      <c r="E67" s="74">
        <f>CustomRates!U14</f>
        <v>0</v>
      </c>
      <c r="F67" s="101" t="str">
        <f t="shared" si="11"/>
        <v>0</v>
      </c>
    </row>
    <row r="68" spans="1:9" ht="20">
      <c r="A68" s="3"/>
      <c r="B68" s="108" t="str">
        <f>CustomRates!B15</f>
        <v>36' Ripper Shooter</v>
      </c>
      <c r="C68" s="32" t="str">
        <f>CustomRates!C15</f>
        <v>acre</v>
      </c>
      <c r="D68" s="100">
        <f>CustomRates!U15</f>
        <v>2.5</v>
      </c>
      <c r="E68" s="74">
        <f>CustomRates!U16</f>
        <v>0</v>
      </c>
      <c r="F68" s="101" t="str">
        <f t="shared" si="11"/>
        <v>0</v>
      </c>
    </row>
    <row r="69" spans="1:9" ht="20">
      <c r="A69" s="3"/>
      <c r="B69" s="108" t="str">
        <f>CustomRates!B17</f>
        <v>Custom self-propelled sprayer</v>
      </c>
      <c r="C69" s="32" t="str">
        <f>CustomRates!C17</f>
        <v>acre</v>
      </c>
      <c r="D69" s="100">
        <f>CustomRates!U17</f>
        <v>8</v>
      </c>
      <c r="E69" s="74">
        <f>CustomRates!U18</f>
        <v>0</v>
      </c>
      <c r="F69" s="101" t="str">
        <f t="shared" si="11"/>
        <v>0</v>
      </c>
    </row>
    <row r="70" spans="1:9" ht="20">
      <c r="A70" s="3"/>
      <c r="B70" s="108" t="str">
        <f>CustomRates!B19</f>
        <v>Additional Operation #8 (Custom)</v>
      </c>
      <c r="C70" s="32" t="str">
        <f>CustomRates!C19</f>
        <v>acre</v>
      </c>
      <c r="D70" s="100">
        <f>CustomRates!U19</f>
        <v>0</v>
      </c>
      <c r="E70" s="74">
        <f>CustomRates!U20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FieldApplications!$T$6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FieldApplications!$T$6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FieldApplications!$T$6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FieldApplications!$T$7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FieldApplications!$T$7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FieldApplications!$T$7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FieldApplications!$T$8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FieldApplications!$T$8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FieldApplications!$T$8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FieldApplications!$T$9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FieldApplications!$T$9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FieldApplications!$T$9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FieldApplications!$T$10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FieldApplications!$T$10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FieldApplications!$T$10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FieldApplications!$T$11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FieldApplications!$T$11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FieldApplications!$T$11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FieldApplications!$T$12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FieldApplications!$T$12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FieldApplications!$T$12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FieldApplications!$T$13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FieldApplications!$T$13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FieldApplications!$T$13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FieldApplications!$T$14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FieldApplications!$T$14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FieldApplications!$T$14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FieldApplications!$T$15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FieldApplications!$T$15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FieldApplications!$T$15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FieldApplications!$T$16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FieldApplications!$T$16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FieldApplications!$T$16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'Chem&amp;FertInputs&amp;CInsurance'!W73</f>
        <v>18</v>
      </c>
      <c r="E115" s="74">
        <v>1</v>
      </c>
      <c r="F115" s="101">
        <f>IF(D115*E115=0,"0",D115*E115)</f>
        <v>18</v>
      </c>
      <c r="H115" t="s">
        <v>181</v>
      </c>
      <c r="I115" t="s">
        <v>181</v>
      </c>
    </row>
    <row r="116" spans="1:13" ht="20">
      <c r="A116" s="3"/>
      <c r="B116" s="72" t="s">
        <v>72</v>
      </c>
      <c r="C116" s="32" t="s">
        <v>83</v>
      </c>
      <c r="D116" s="95">
        <f>MachineAssumptions!D25</f>
        <v>0.05</v>
      </c>
      <c r="E116" s="74"/>
      <c r="F116" s="73">
        <f>SUM(F8:F115)*D116</f>
        <v>9.3986247921110344</v>
      </c>
      <c r="G116" t="s">
        <v>111</v>
      </c>
      <c r="H116" s="40">
        <f>(SUM($F8:$F70)+$F115+SUM(H72:H113))*$D116</f>
        <v>9.3991088616116638</v>
      </c>
      <c r="I116" s="40">
        <f>(SUM($F8:$F70)+$F115+SUM(I72:I113))*$D116</f>
        <v>9.2608118895846214</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9.9919129821130426</v>
      </c>
      <c r="G117" t="s">
        <v>4</v>
      </c>
      <c r="H117" s="40">
        <f>(SUM(F8:F70)+(F115+F116+H114))*((D117/12)*MachineAssumptions!D27)</f>
        <v>9.9924031024824309</v>
      </c>
      <c r="I117" s="40">
        <f>(SUM(F8:F70)+(F115+F116+I114))*((D117/12)*MachineAssumptions!D27)</f>
        <v>9.8523774183050499</v>
      </c>
      <c r="J117" s="40">
        <f>F73+F76+F79+F82+F85+F88+F91+F94+F97+F100+F103+F106+F109+F112</f>
        <v>36.116622527605394</v>
      </c>
      <c r="K117" t="s">
        <v>4</v>
      </c>
    </row>
    <row r="118" spans="1:13" ht="20">
      <c r="A118" s="3"/>
      <c r="B118" s="9" t="s">
        <v>85</v>
      </c>
      <c r="C118" s="22"/>
      <c r="D118" s="124"/>
      <c r="E118" s="125"/>
      <c r="F118" s="126">
        <f>SUM(F8:F117)</f>
        <v>207.36303361644474</v>
      </c>
      <c r="G118" t="s">
        <v>112</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23.23173374584713</v>
      </c>
      <c r="I135" s="37">
        <f t="shared" si="18"/>
        <v>23.231976314218116</v>
      </c>
    </row>
    <row r="136" spans="1:9" ht="20">
      <c r="A136" s="3"/>
      <c r="B136" s="5"/>
      <c r="C136" s="5"/>
      <c r="D136" s="10"/>
      <c r="E136" s="5"/>
      <c r="F136" s="97"/>
    </row>
    <row r="137" spans="1:9" ht="20">
      <c r="A137" s="3"/>
      <c r="B137" s="9" t="s">
        <v>31</v>
      </c>
      <c r="C137" s="22"/>
      <c r="D137" s="23"/>
      <c r="E137" s="22"/>
      <c r="F137" s="38">
        <f>F118+F135</f>
        <v>230.59500993066285</v>
      </c>
      <c r="H137" s="38">
        <f>SUM(F16:F70)+H114+F115+H116+H117+H135+F8+(H9*D9)+(H10*D10)+(H11*D11)+(H12*D12)+(H13*D13)+(H14*D14)+(H15*D15)</f>
        <v>230.60542294217447</v>
      </c>
      <c r="I137" s="38">
        <f>SUM(F16:F70)+I114+F115+I116+I117+I135+F8+(I9*D9)+(I10*D10)+(I11*D11)+(I12*D12)+(I13*D13)+(I14*D14)+(I15*D15)</f>
        <v>227.56140341380024</v>
      </c>
    </row>
    <row r="138" spans="1:9" ht="21">
      <c r="A138" s="3"/>
      <c r="B138" s="24" t="s">
        <v>32</v>
      </c>
      <c r="C138" s="25"/>
      <c r="D138" s="26"/>
      <c r="E138" s="25"/>
      <c r="F138" s="39">
        <f>F5-F137</f>
        <v>39.404990069337146</v>
      </c>
      <c r="H138" s="215">
        <f>H5-H137</f>
        <v>39.394577057825529</v>
      </c>
      <c r="I138" s="215">
        <f>I5-I137</f>
        <v>42.438596586199765</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60:D60 B16:G20 E60:G6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8127-8C33-8841-8DD1-6C9E3AA1723E}">
  <sheetPr codeName="Sheet2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7" width="11.5" hidden="1" customWidth="1"/>
    <col min="18" max="24" width="11.5" customWidth="1"/>
  </cols>
  <sheetData>
    <row r="1" spans="1:19" ht="20">
      <c r="A1" s="302" t="s">
        <v>8</v>
      </c>
      <c r="B1" s="20"/>
      <c r="C1" s="5"/>
      <c r="D1" s="10"/>
      <c r="E1" s="5"/>
      <c r="F1" s="5"/>
    </row>
    <row r="2" spans="1:19" ht="20">
      <c r="A2" s="3"/>
      <c r="B2" s="709" t="str">
        <f>'Prices_Yields&amp;SeedInputs'!B23&amp;", Cash Costs and Returns of Producing, $/acre."</f>
        <v>Spring Lentils,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'Prices_Yields&amp;SeedInputs'!B23</f>
        <v>Spring Lentils</v>
      </c>
      <c r="C4" s="15" t="str">
        <f>'Prices_Yields&amp;SeedInputs'!C23</f>
        <v>lb</v>
      </c>
      <c r="D4" s="10">
        <f>'Prices_Yields&amp;SeedInputs'!D23</f>
        <v>0.18</v>
      </c>
      <c r="E4" s="77">
        <f>'Prices_Yields&amp;SeedInputs'!E23</f>
        <v>1800</v>
      </c>
      <c r="F4" s="28">
        <f>D4*E4</f>
        <v>324</v>
      </c>
      <c r="R4" s="579"/>
      <c r="S4" s="579"/>
    </row>
    <row r="5" spans="1:19" ht="20">
      <c r="A5" s="3"/>
      <c r="B5" s="9" t="s">
        <v>14</v>
      </c>
      <c r="C5" s="22"/>
      <c r="D5" s="23"/>
      <c r="E5" s="22"/>
      <c r="F5" s="37">
        <f>SUM(F4:F4)</f>
        <v>324</v>
      </c>
      <c r="H5">
        <f>D4*'Prices_Yields&amp;SeedInputs'!F23</f>
        <v>324</v>
      </c>
      <c r="I5">
        <f>D4*'Prices_Yields&amp;SeedInputs'!G23</f>
        <v>324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'Prices_Yields&amp;SeedInputs'!H23</f>
        <v>pound</v>
      </c>
      <c r="D8" s="73">
        <f>'Prices_Yields&amp;SeedInputs'!I23</f>
        <v>0.39</v>
      </c>
      <c r="E8" s="104">
        <f>'Prices_Yields&amp;SeedInputs'!J23</f>
        <v>45</v>
      </c>
      <c r="F8" s="101">
        <f t="shared" ref="F8:F61" si="0">IF(D8*E8=0,"0",D8*E8)</f>
        <v>17.55</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'Chem&amp;FertInputs&amp;CInsurance'!X6</f>
        <v>0</v>
      </c>
      <c r="F9" s="101" t="str">
        <f t="shared" si="0"/>
        <v>0</v>
      </c>
      <c r="H9">
        <f>'Chem&amp;FertInputs&amp;CInsurance'!X7</f>
        <v>0</v>
      </c>
      <c r="I9">
        <f>'Chem&amp;FertInputs&amp;CInsurance'!X8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'Chem&amp;FertInputs&amp;CInsurance'!X9</f>
        <v>0</v>
      </c>
      <c r="F10" s="101" t="str">
        <f t="shared" si="0"/>
        <v>0</v>
      </c>
      <c r="H10">
        <f>'Chem&amp;FertInputs&amp;CInsurance'!X10</f>
        <v>0</v>
      </c>
      <c r="I10">
        <f>'Chem&amp;FertInputs&amp;CInsurance'!X11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'Chem&amp;FertInputs&amp;CInsurance'!X12</f>
        <v>0</v>
      </c>
      <c r="F11" s="101" t="str">
        <f t="shared" si="0"/>
        <v>0</v>
      </c>
      <c r="H11">
        <f>'Chem&amp;FertInputs&amp;CInsurance'!X13</f>
        <v>0</v>
      </c>
      <c r="I11">
        <f>'Chem&amp;FertInputs&amp;CInsurance'!X14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'Chem&amp;FertInputs&amp;CInsurance'!X15</f>
        <v>0</v>
      </c>
      <c r="F12" s="101" t="str">
        <f t="shared" si="0"/>
        <v>0</v>
      </c>
      <c r="H12">
        <f>'Chem&amp;FertInputs&amp;CInsurance'!X16</f>
        <v>0</v>
      </c>
      <c r="I12">
        <f>'Chem&amp;FertInputs&amp;CInsurance'!X17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'Chem&amp;FertInputs&amp;CInsurance'!X18</f>
        <v>0</v>
      </c>
      <c r="F13" s="101" t="str">
        <f t="shared" si="0"/>
        <v>0</v>
      </c>
      <c r="H13">
        <f>'Chem&amp;FertInputs&amp;CInsurance'!X19</f>
        <v>0</v>
      </c>
      <c r="I13">
        <f>'Chem&amp;FertInputs&amp;CInsurance'!X20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'Chem&amp;FertInputs&amp;CInsurance'!X21</f>
        <v>3.4</v>
      </c>
      <c r="F14" s="101">
        <f t="shared" ref="F14:F20" si="1">IF(D14*E14=0,"0",D14*E14)</f>
        <v>1.6319999999999999</v>
      </c>
      <c r="G14" s="146">
        <f>E14/128</f>
        <v>2.6562499999999999E-2</v>
      </c>
      <c r="H14">
        <f>'Chem&amp;FertInputs&amp;CInsurance'!X22</f>
        <v>3.4</v>
      </c>
      <c r="I14">
        <f>'Chem&amp;FertInputs&amp;CInsurance'!X23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'Chem&amp;FertInputs&amp;CInsurance'!X24</f>
        <v>0</v>
      </c>
      <c r="F15" s="101" t="str">
        <f t="shared" si="1"/>
        <v>0</v>
      </c>
      <c r="G15" s="146">
        <f>E15/16</f>
        <v>0</v>
      </c>
      <c r="H15">
        <f>'Chem&amp;FertInputs&amp;CInsurance'!X25</f>
        <v>0</v>
      </c>
      <c r="I15">
        <f>'Chem&amp;FertInputs&amp;CInsurance'!X26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'Chem&amp;FertInputs&amp;CInsurance'!X27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'Chem&amp;FertInputs&amp;CInsurance'!X28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'Chem&amp;FertInputs&amp;CInsurance'!X29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'Chem&amp;FertInputs&amp;CInsurance'!X30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'Chem&amp;FertInputs&amp;CInsurance'!X31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'Chem&amp;FertInputs&amp;CInsurance'!X33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'Chem&amp;FertInputs&amp;CInsurance'!X34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'Chem&amp;FertInputs&amp;CInsurance'!X35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'Chem&amp;FertInputs&amp;CInsurance'!X36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'Chem&amp;FertInputs&amp;CInsurance'!X37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'Chem&amp;FertInputs&amp;CInsurance'!X38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'Chem&amp;FertInputs&amp;CInsurance'!X39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'Chem&amp;FertInputs&amp;CInsurance'!X40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'Chem&amp;FertInputs&amp;CInsurance'!X41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'Chem&amp;FertInputs&amp;CInsurance'!X42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'Chem&amp;FertInputs&amp;CInsurance'!X43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'Chem&amp;FertInputs&amp;CInsurance'!X44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'Chem&amp;FertInputs&amp;CInsurance'!X45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'Chem&amp;FertInputs&amp;CInsurance'!X46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'Chem&amp;FertInputs&amp;CInsurance'!X47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'Chem&amp;FertInputs&amp;CInsurance'!X48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'Chem&amp;FertInputs&amp;CInsurance'!X49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'Chem&amp;FertInputs&amp;CInsurance'!X50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'Chem&amp;FertInputs&amp;CInsurance'!X51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'Chem&amp;FertInputs&amp;CInsurance'!X52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'Chem&amp;FertInputs&amp;CInsurance'!X53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'Chem&amp;FertInputs&amp;CInsurance'!X54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'Chem&amp;FertInputs&amp;CInsurance'!X55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'Chem&amp;FertInputs&amp;CInsurance'!X56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'Chem&amp;FertInputs&amp;CInsurance'!X57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'Chem&amp;FertInputs&amp;CInsurance'!X58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'Chem&amp;FertInputs&amp;CInsurance'!X59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'Chem&amp;FertInputs&amp;CInsurance'!X60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'Chem&amp;FertInputs&amp;CInsurance'!X61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'Chem&amp;FertInputs&amp;CInsurance'!X62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'Chem&amp;FertInputs&amp;CInsurance'!X63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'Chem&amp;FertInputs&amp;CInsurance'!X64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'Chem&amp;FertInputs&amp;CInsurance'!X65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'Chem&amp;FertInputs&amp;CInsurance'!X66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'Chem&amp;FertInputs&amp;CInsurance'!X67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'Chem&amp;FertInputs&amp;CInsurance'!X68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'Chem&amp;FertInputs&amp;CInsurance'!X69</f>
        <v>1.25</v>
      </c>
      <c r="F57" s="101">
        <f t="shared" si="0"/>
        <v>33.206250000000004</v>
      </c>
      <c r="G57" s="146">
        <f>E57/128</f>
        <v>9.765625E-3</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'Chem&amp;FertInputs&amp;CInsurance'!X70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'Chem&amp;FertInputs&amp;CInsurance'!X71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'Chem&amp;FertInputs&amp;CInsurance'!X72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'Chem&amp;FertInputs&amp;CInsurance'!X32</f>
        <v>36</v>
      </c>
      <c r="F61" s="101">
        <f t="shared" si="0"/>
        <v>5.3819999999999997</v>
      </c>
      <c r="G61" s="191">
        <f>E61/128</f>
        <v>0.28125</v>
      </c>
    </row>
    <row r="62" spans="1:7" ht="20">
      <c r="A62" s="3"/>
      <c r="B62" s="122" t="s">
        <v>86</v>
      </c>
      <c r="C62" s="16"/>
      <c r="D62" s="100"/>
      <c r="E62" s="116"/>
      <c r="F62" s="101"/>
      <c r="G62" s="146">
        <f>SUM(G14:G61)</f>
        <v>0.55351562499999996</v>
      </c>
    </row>
    <row r="63" spans="1:7" ht="20">
      <c r="A63" s="3"/>
      <c r="B63" s="108" t="str">
        <f>CustomRates!B5</f>
        <v>Aerial (Custom)</v>
      </c>
      <c r="C63" s="32" t="str">
        <f>CustomRates!C5</f>
        <v>acre</v>
      </c>
      <c r="D63" s="100">
        <f>CustomRates!V5</f>
        <v>8.9499999999999993</v>
      </c>
      <c r="E63" s="74">
        <f>CustomRates!V6</f>
        <v>1</v>
      </c>
      <c r="F63" s="101">
        <f t="shared" ref="F63:F70" si="11">IF(D63*E63=0,"0",D63*E63)</f>
        <v>8.9499999999999993</v>
      </c>
    </row>
    <row r="64" spans="1:7" ht="20">
      <c r="A64" s="3"/>
      <c r="B64" s="108" t="str">
        <f>CustomRates!B7</f>
        <v>Sprayer (Rental 90')</v>
      </c>
      <c r="C64" s="32" t="str">
        <f>CustomRates!C7</f>
        <v>acre</v>
      </c>
      <c r="D64" s="100">
        <f>CustomRates!V7</f>
        <v>8</v>
      </c>
      <c r="E64" s="74">
        <f>CustomRates!V8</f>
        <v>0</v>
      </c>
      <c r="F64" s="101" t="str">
        <f t="shared" si="11"/>
        <v>0</v>
      </c>
    </row>
    <row r="65" spans="1:9" ht="20">
      <c r="A65" s="3"/>
      <c r="B65" s="108" t="str">
        <f>CustomRates!B9</f>
        <v>Fertilizer - Anhydrous Applicator (Rent)</v>
      </c>
      <c r="C65" s="32" t="str">
        <f>CustomRates!C9</f>
        <v>acre</v>
      </c>
      <c r="D65" s="100">
        <f>CustomRates!V9</f>
        <v>7</v>
      </c>
      <c r="E65" s="74">
        <f>CustomRates!V10</f>
        <v>0</v>
      </c>
      <c r="F65" s="101" t="str">
        <f t="shared" si="11"/>
        <v>0</v>
      </c>
    </row>
    <row r="66" spans="1:9" ht="20">
      <c r="A66" s="3"/>
      <c r="B66" s="108" t="str">
        <f>CustomRates!B11</f>
        <v>Fertilizer Applicator</v>
      </c>
      <c r="C66" s="32" t="str">
        <f>CustomRates!C11</f>
        <v>acre</v>
      </c>
      <c r="D66" s="100">
        <f>CustomRates!V11</f>
        <v>2</v>
      </c>
      <c r="E66" s="74">
        <f>CustomRates!V12</f>
        <v>0</v>
      </c>
      <c r="F66" s="101" t="str">
        <f t="shared" si="11"/>
        <v>0</v>
      </c>
    </row>
    <row r="67" spans="1:9" ht="20">
      <c r="A67" s="3"/>
      <c r="B67" s="108" t="str">
        <f>CustomRates!B13</f>
        <v>26' Rental Shredder</v>
      </c>
      <c r="C67" s="32" t="str">
        <f>CustomRates!C13</f>
        <v>acre</v>
      </c>
      <c r="D67" s="100">
        <f>CustomRates!V13</f>
        <v>10</v>
      </c>
      <c r="E67" s="74">
        <f>CustomRates!V14</f>
        <v>0</v>
      </c>
      <c r="F67" s="101" t="str">
        <f t="shared" si="11"/>
        <v>0</v>
      </c>
    </row>
    <row r="68" spans="1:9" ht="20">
      <c r="A68" s="3"/>
      <c r="B68" s="108" t="str">
        <f>CustomRates!B15</f>
        <v>36' Ripper Shooter</v>
      </c>
      <c r="C68" s="32" t="str">
        <f>CustomRates!C15</f>
        <v>acre</v>
      </c>
      <c r="D68" s="100">
        <f>CustomRates!V15</f>
        <v>2.5</v>
      </c>
      <c r="E68" s="74">
        <f>CustomRates!V16</f>
        <v>0</v>
      </c>
      <c r="F68" s="101" t="str">
        <f t="shared" si="11"/>
        <v>0</v>
      </c>
    </row>
    <row r="69" spans="1:9" ht="20">
      <c r="A69" s="3"/>
      <c r="B69" s="108" t="str">
        <f>CustomRates!B17</f>
        <v>Custom self-propelled sprayer</v>
      </c>
      <c r="C69" s="32" t="str">
        <f>CustomRates!C17</f>
        <v>acre</v>
      </c>
      <c r="D69" s="100">
        <f>CustomRates!V17</f>
        <v>8</v>
      </c>
      <c r="E69" s="74">
        <f>CustomRates!V18</f>
        <v>0</v>
      </c>
      <c r="F69" s="101" t="str">
        <f t="shared" si="11"/>
        <v>0</v>
      </c>
    </row>
    <row r="70" spans="1:9" ht="20">
      <c r="A70" s="3"/>
      <c r="B70" s="108" t="str">
        <f>CustomRates!B19</f>
        <v>Additional Operation #8 (Custom)</v>
      </c>
      <c r="C70" s="32" t="str">
        <f>CustomRates!C19</f>
        <v>acre</v>
      </c>
      <c r="D70" s="100">
        <f>CustomRates!V19</f>
        <v>0</v>
      </c>
      <c r="E70" s="74">
        <f>CustomRates!V20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FieldApplications!$U$6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FieldApplications!$U$6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FieldApplications!$U$6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FieldApplications!$U$7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FieldApplications!$U$7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FieldApplications!$U$7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FieldApplications!$U$8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FieldApplications!$U$8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FieldApplications!$U$8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FieldApplications!$U$9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FieldApplications!$U$9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FieldApplications!$U$9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FieldApplications!$U$10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FieldApplications!$U$10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FieldApplications!$U$10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FieldApplications!$U$11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FieldApplications!$U$11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FieldApplications!$U$11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FieldApplications!$U$12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FieldApplications!$U$12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FieldApplications!$U$12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FieldApplications!$U$13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FieldApplications!$U$13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FieldApplications!$U$13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FieldApplications!$U$14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FieldApplications!$U$14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FieldApplications!$U$14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FieldApplications!$U$15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FieldApplications!$U$15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FieldApplications!$U$15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FieldApplications!$U$16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FieldApplications!$U$16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FieldApplications!$U$16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'Chem&amp;FertInputs&amp;CInsurance'!X73</f>
        <v>18</v>
      </c>
      <c r="E115" s="74">
        <v>1</v>
      </c>
      <c r="F115" s="101">
        <f>IF(D115*E115=0,"0",D115*E115)</f>
        <v>18</v>
      </c>
      <c r="H115" t="s">
        <v>181</v>
      </c>
      <c r="I115" t="s">
        <v>181</v>
      </c>
    </row>
    <row r="116" spans="1:13" ht="20">
      <c r="A116" s="3"/>
      <c r="B116" s="72" t="s">
        <v>72</v>
      </c>
      <c r="C116" s="32" t="s">
        <v>83</v>
      </c>
      <c r="D116" s="95">
        <f>MachineAssumptions!D25</f>
        <v>0.05</v>
      </c>
      <c r="E116" s="74"/>
      <c r="F116" s="73">
        <f>SUM(F8:F115)*D116</f>
        <v>8.8799697921110372</v>
      </c>
      <c r="G116" t="s">
        <v>111</v>
      </c>
      <c r="H116" s="40">
        <f>(SUM($F8:$F70)+$F115+SUM(H72:H113))*$D116</f>
        <v>8.8804538616116631</v>
      </c>
      <c r="I116" s="40">
        <f>(SUM($F8:$F70)+$F115+SUM(I72:I113))*$D116</f>
        <v>8.7421568895846207</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9.4405178852380462</v>
      </c>
      <c r="G117" t="s">
        <v>4</v>
      </c>
      <c r="H117" s="40">
        <f>(SUM(F8:F70)+(F115+F116+H114))*((D117/12)*MachineAssumptions!D27)</f>
        <v>9.441008005607431</v>
      </c>
      <c r="I117" s="40">
        <f>(SUM(F8:F70)+(F115+F116+I114))*((D117/12)*MachineAssumptions!D27)</f>
        <v>9.3009823214300518</v>
      </c>
      <c r="J117" s="40">
        <f>F73+F76+F79+F82+F85+F88+F91+F94+F97+F100+F103+F106+F109+F112</f>
        <v>36.116622527605394</v>
      </c>
      <c r="K117" t="s">
        <v>4</v>
      </c>
    </row>
    <row r="118" spans="1:13" ht="20">
      <c r="A118" s="3"/>
      <c r="B118" s="9" t="s">
        <v>85</v>
      </c>
      <c r="C118" s="22"/>
      <c r="D118" s="124"/>
      <c r="E118" s="125"/>
      <c r="F118" s="126">
        <f>SUM(F8:F117)</f>
        <v>195.91988351956982</v>
      </c>
      <c r="G118" t="s">
        <v>112</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23.23173374584713</v>
      </c>
      <c r="I135" s="37">
        <f t="shared" si="18"/>
        <v>23.231976314218116</v>
      </c>
    </row>
    <row r="136" spans="1:9" ht="20">
      <c r="A136" s="3"/>
      <c r="B136" s="5"/>
      <c r="C136" s="5"/>
      <c r="D136" s="10"/>
      <c r="E136" s="5"/>
      <c r="F136" s="97"/>
    </row>
    <row r="137" spans="1:9" ht="20">
      <c r="A137" s="3"/>
      <c r="B137" s="9" t="s">
        <v>31</v>
      </c>
      <c r="C137" s="22"/>
      <c r="D137" s="23"/>
      <c r="E137" s="22"/>
      <c r="F137" s="38">
        <f>F118+F135</f>
        <v>219.15185983378794</v>
      </c>
      <c r="H137" s="38">
        <f>SUM(F16:F70)+H114+F115+H116+H117+H135+F8+(H9*D9)+(H10*D10)+(H11*D11)+(H12*D12)+(H13*D13)+(H14*D14)+(H15*D15)</f>
        <v>219.1622728452995</v>
      </c>
      <c r="I137" s="38">
        <f>SUM(F16:F70)+I114+F115+I116+I117+I135+F8+(I9*D9)+(I10*D10)+(I11*D11)+(I12*D12)+(I13*D13)+(I14*D14)+(I15*D15)</f>
        <v>216.11825331692521</v>
      </c>
    </row>
    <row r="138" spans="1:9" ht="21">
      <c r="A138" s="3"/>
      <c r="B138" s="24" t="s">
        <v>32</v>
      </c>
      <c r="C138" s="25"/>
      <c r="D138" s="26"/>
      <c r="E138" s="25"/>
      <c r="F138" s="39">
        <f>F5-F137</f>
        <v>104.84814016621206</v>
      </c>
      <c r="H138" s="215">
        <f>H5-H137</f>
        <v>104.8377271547005</v>
      </c>
      <c r="I138" s="215">
        <f>I5-I137</f>
        <v>107.88174668307479</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C13:D13 B62:E62 C14:D14 B118:F120 B117:E117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2F3CA-1295-8F42-B80B-D11A33996AFA}">
  <sheetPr codeName="Sheet17">
    <pageSetUpPr fitToPage="1"/>
  </sheetPr>
  <dimension ref="A1:S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7" width="0" hidden="1" customWidth="1"/>
  </cols>
  <sheetData>
    <row r="1" spans="1:19" ht="20">
      <c r="A1" s="302" t="s">
        <v>8</v>
      </c>
      <c r="B1" s="20"/>
      <c r="C1" s="5"/>
      <c r="D1" s="10"/>
      <c r="E1" s="5"/>
      <c r="F1" s="5"/>
    </row>
    <row r="2" spans="1:19" ht="20">
      <c r="A2" s="3"/>
      <c r="B2" s="709" t="str">
        <f>'Prices_Yields&amp;SeedInputs'!B24&amp;", Cash Costs and Returns of Producing, $/acre."</f>
        <v>SW Spring Wheat, Cash Costs and Returns of Producing, $/acre.</v>
      </c>
      <c r="C2" s="709"/>
      <c r="D2" s="709"/>
      <c r="E2" s="709"/>
      <c r="F2" s="709"/>
    </row>
    <row r="3" spans="1:19" ht="20.5" customHeight="1">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5" customHeight="1">
      <c r="A4" s="3"/>
      <c r="B4" s="110" t="str">
        <f>'Prices_Yields&amp;SeedInputs'!B24</f>
        <v>SW Spring Wheat</v>
      </c>
      <c r="C4" s="15" t="str">
        <f>'Prices_Yields&amp;SeedInputs'!C24</f>
        <v>bu</v>
      </c>
      <c r="D4" s="75">
        <f>'Prices_Yields&amp;SeedInputs'!D24</f>
        <v>5.97</v>
      </c>
      <c r="E4" s="111">
        <f>'Prices_Yields&amp;SeedInputs'!E24</f>
        <v>65</v>
      </c>
      <c r="F4" s="28">
        <f>D4*E4</f>
        <v>388.05</v>
      </c>
      <c r="R4" s="579"/>
      <c r="S4" s="579"/>
    </row>
    <row r="5" spans="1:19" ht="20.5" customHeight="1">
      <c r="A5" s="3"/>
      <c r="B5" s="9" t="s">
        <v>14</v>
      </c>
      <c r="C5" s="22"/>
      <c r="D5" s="23"/>
      <c r="E5" s="22"/>
      <c r="F5" s="37">
        <f>SUM(F4:F4)</f>
        <v>388.05</v>
      </c>
      <c r="H5">
        <f>D4*'Prices_Yields&amp;SeedInputs'!F24</f>
        <v>388.05</v>
      </c>
      <c r="I5">
        <f>D4*'Prices_Yields&amp;SeedInputs'!G24</f>
        <v>388.05</v>
      </c>
      <c r="R5" s="579"/>
      <c r="S5" s="579"/>
    </row>
    <row r="6" spans="1:19" ht="20.5" customHeight="1">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'Prices_Yields&amp;SeedInputs'!H24</f>
        <v>pound</v>
      </c>
      <c r="D8" s="73">
        <f>'Prices_Yields&amp;SeedInputs'!I24</f>
        <v>0.27</v>
      </c>
      <c r="E8" s="116">
        <f>'Prices_Yields&amp;SeedInputs'!J24</f>
        <v>100</v>
      </c>
      <c r="F8" s="101">
        <f t="shared" ref="F8:F61" si="0">IF(D8*E8=0,"0",D8*E8)</f>
        <v>27</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'Chem&amp;FertInputs&amp;CInsurance'!Y6</f>
        <v>100</v>
      </c>
      <c r="F9" s="101">
        <f t="shared" si="0"/>
        <v>48.75</v>
      </c>
      <c r="H9">
        <f>'Chem&amp;FertInputs&amp;CInsurance'!Y7</f>
        <v>100</v>
      </c>
      <c r="I9">
        <f>'Chem&amp;FertInputs&amp;CInsurance'!Y8</f>
        <v>100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'Chem&amp;FertInputs&amp;CInsurance'!Y9</f>
        <v>0</v>
      </c>
      <c r="F10" s="101" t="str">
        <f t="shared" si="0"/>
        <v>0</v>
      </c>
      <c r="H10">
        <f>'Chem&amp;FertInputs&amp;CInsurance'!Y10</f>
        <v>0</v>
      </c>
      <c r="I10">
        <f>'Chem&amp;FertInputs&amp;CInsurance'!Y11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'Chem&amp;FertInputs&amp;CInsurance'!Y12</f>
        <v>5</v>
      </c>
      <c r="F11" s="101">
        <f t="shared" si="0"/>
        <v>2.375</v>
      </c>
      <c r="H11">
        <f>'Chem&amp;FertInputs&amp;CInsurance'!Y13</f>
        <v>5</v>
      </c>
      <c r="I11">
        <f>'Chem&amp;FertInputs&amp;CInsurance'!Y14</f>
        <v>5</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'Chem&amp;FertInputs&amp;CInsurance'!Y15</f>
        <v>0</v>
      </c>
      <c r="F12" s="101" t="str">
        <f t="shared" si="0"/>
        <v>0</v>
      </c>
      <c r="H12">
        <f>'Chem&amp;FertInputs&amp;CInsurance'!Y16</f>
        <v>0</v>
      </c>
      <c r="I12">
        <f>'Chem&amp;FertInputs&amp;CInsurance'!Y17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'Chem&amp;FertInputs&amp;CInsurance'!Y18</f>
        <v>20</v>
      </c>
      <c r="F13" s="101">
        <f t="shared" si="0"/>
        <v>5.1100000000000003</v>
      </c>
      <c r="H13">
        <f>'Chem&amp;FertInputs&amp;CInsurance'!Y19</f>
        <v>20</v>
      </c>
      <c r="I13">
        <f>'Chem&amp;FertInputs&amp;CInsurance'!Y20</f>
        <v>20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'Chem&amp;FertInputs&amp;CInsurance'!Y21</f>
        <v>3.4</v>
      </c>
      <c r="F14" s="101">
        <f>IF(D14*E14=0,"0",D14*E14)</f>
        <v>1.6319999999999999</v>
      </c>
      <c r="G14" s="146">
        <f>E14/128</f>
        <v>2.6562499999999999E-2</v>
      </c>
      <c r="H14">
        <f>'Chem&amp;FertInputs&amp;CInsurance'!Y22</f>
        <v>3.4</v>
      </c>
      <c r="I14">
        <f>'Chem&amp;FertInputs&amp;CInsurance'!Y23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'Chem&amp;FertInputs&amp;CInsurance'!Y24</f>
        <v>0</v>
      </c>
      <c r="F15" s="101" t="str">
        <f>IF(D15*E15=0,"0",D15*E15)</f>
        <v>0</v>
      </c>
      <c r="G15" s="146">
        <f>E15/16</f>
        <v>0</v>
      </c>
      <c r="H15">
        <f>'Chem&amp;FertInputs&amp;CInsurance'!Y25</f>
        <v>0</v>
      </c>
      <c r="I15">
        <f>'Chem&amp;FertInputs&amp;CInsurance'!Y26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'Chem&amp;FertInputs&amp;CInsurance'!Y27</f>
        <v>0</v>
      </c>
      <c r="F16" s="101" t="str">
        <f>IF(D16*E16=0,"0",D16*E16)</f>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'Chem&amp;FertInputs&amp;CInsurance'!Y28</f>
        <v>0</v>
      </c>
      <c r="F17" s="101" t="str">
        <f t="shared" ref="F17:F19" si="1">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'Chem&amp;FertInputs&amp;CInsurance'!Y29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'Chem&amp;FertInputs&amp;CInsurance'!Y30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'Chem&amp;FertInputs&amp;CInsurance'!Y31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'Chem&amp;FertInputs&amp;CInsurance'!Y33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'Chem&amp;FertInputs&amp;CInsurance'!Y34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'Chem&amp;FertInputs&amp;CInsurance'!Y35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'Chem&amp;FertInputs&amp;CInsurance'!Y36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'Chem&amp;FertInputs&amp;CInsurance'!Y37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'Chem&amp;FertInputs&amp;CInsurance'!Y38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'Chem&amp;FertInputs&amp;CInsurance'!Y39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'Chem&amp;FertInputs&amp;CInsurance'!Y40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'Chem&amp;FertInputs&amp;CInsurance'!Y41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'Chem&amp;FertInputs&amp;CInsurance'!Y42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'Chem&amp;FertInputs&amp;CInsurance'!Y43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'Chem&amp;FertInputs&amp;CInsurance'!Y44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'Chem&amp;FertInputs&amp;CInsurance'!Y45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'Chem&amp;FertInputs&amp;CInsurance'!Y46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'Chem&amp;FertInputs&amp;CInsurance'!Y47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'Chem&amp;FertInputs&amp;CInsurance'!Y48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'Chem&amp;FertInputs&amp;CInsurance'!Y49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'Chem&amp;FertInputs&amp;CInsurance'!Y50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'Chem&amp;FertInputs&amp;CInsurance'!Y51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'Chem&amp;FertInputs&amp;CInsurance'!Y52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'Chem&amp;FertInputs&amp;CInsurance'!Y53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'Chem&amp;FertInputs&amp;CInsurance'!Y54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'Chem&amp;FertInputs&amp;CInsurance'!Y55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'Chem&amp;FertInputs&amp;CInsurance'!Y56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'Chem&amp;FertInputs&amp;CInsurance'!Y57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'Chem&amp;FertInputs&amp;CInsurance'!Y58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'Chem&amp;FertInputs&amp;CInsurance'!Y59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'Chem&amp;FertInputs&amp;CInsurance'!Y60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'Chem&amp;FertInputs&amp;CInsurance'!Y61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'Chem&amp;FertInputs&amp;CInsurance'!Y62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'Chem&amp;FertInputs&amp;CInsurance'!Y63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'Chem&amp;FertInputs&amp;CInsurance'!Y64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'Chem&amp;FertInputs&amp;CInsurance'!Y65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'Chem&amp;FertInputs&amp;CInsurance'!Y66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'Chem&amp;FertInputs&amp;CInsurance'!Y67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'Chem&amp;FertInputs&amp;CInsurance'!Y68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'Chem&amp;FertInputs&amp;CInsurance'!Y69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'Chem&amp;FertInputs&amp;CInsurance'!Y70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'Chem&amp;FertInputs&amp;CInsurance'!Y71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'Chem&amp;FertInputs&amp;CInsurance'!Y72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'Chem&amp;FertInputs&amp;CInsurance'!Y32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CustomRates!W5</f>
        <v>8.9499999999999993</v>
      </c>
      <c r="E63" s="74">
        <f>CustomRates!W6</f>
        <v>0</v>
      </c>
      <c r="F63" s="101" t="str">
        <f t="shared" ref="F63:F70" si="11">IF(D63*E63=0,"0",D63*E63)</f>
        <v>0</v>
      </c>
    </row>
    <row r="64" spans="1:7" ht="20">
      <c r="A64" s="3"/>
      <c r="B64" s="108" t="str">
        <f>CustomRates!B7</f>
        <v>Sprayer (Rental 90')</v>
      </c>
      <c r="C64" s="32" t="str">
        <f>CustomRates!C7</f>
        <v>acre</v>
      </c>
      <c r="D64" s="100">
        <f>CustomRates!W7</f>
        <v>8</v>
      </c>
      <c r="E64" s="74">
        <f>CustomRates!W8</f>
        <v>1</v>
      </c>
      <c r="F64" s="101">
        <f t="shared" si="11"/>
        <v>8</v>
      </c>
    </row>
    <row r="65" spans="1:9" ht="20">
      <c r="A65" s="3"/>
      <c r="B65" s="108" t="str">
        <f>CustomRates!B9</f>
        <v>Fertilizer - Anhydrous Applicator (Rent)</v>
      </c>
      <c r="C65" s="32" t="str">
        <f>CustomRates!C9</f>
        <v>acre</v>
      </c>
      <c r="D65" s="100">
        <f>CustomRates!W9</f>
        <v>7</v>
      </c>
      <c r="E65" s="74">
        <f>CustomRates!W10</f>
        <v>0</v>
      </c>
      <c r="F65" s="101" t="str">
        <f t="shared" si="11"/>
        <v>0</v>
      </c>
    </row>
    <row r="66" spans="1:9" ht="20">
      <c r="A66" s="3"/>
      <c r="B66" s="108" t="str">
        <f>CustomRates!B11</f>
        <v>Fertilizer Applicator</v>
      </c>
      <c r="C66" s="32" t="str">
        <f>CustomRates!C11</f>
        <v>acre</v>
      </c>
      <c r="D66" s="100">
        <f>CustomRates!W11</f>
        <v>2</v>
      </c>
      <c r="E66" s="74">
        <f>CustomRates!W12</f>
        <v>0</v>
      </c>
      <c r="F66" s="101" t="str">
        <f t="shared" si="11"/>
        <v>0</v>
      </c>
    </row>
    <row r="67" spans="1:9" ht="20">
      <c r="A67" s="3"/>
      <c r="B67" s="108" t="str">
        <f>CustomRates!B13</f>
        <v>26' Rental Shredder</v>
      </c>
      <c r="C67" s="32" t="str">
        <f>CustomRates!C13</f>
        <v>acre</v>
      </c>
      <c r="D67" s="100">
        <f>CustomRates!W13</f>
        <v>10</v>
      </c>
      <c r="E67" s="74">
        <f>CustomRates!W14</f>
        <v>0</v>
      </c>
      <c r="F67" s="101" t="str">
        <f t="shared" si="11"/>
        <v>0</v>
      </c>
    </row>
    <row r="68" spans="1:9" ht="20">
      <c r="A68" s="3"/>
      <c r="B68" s="108" t="str">
        <f>CustomRates!B15</f>
        <v>36' Ripper Shooter</v>
      </c>
      <c r="C68" s="32" t="str">
        <f>CustomRates!C15</f>
        <v>acre</v>
      </c>
      <c r="D68" s="100">
        <f>CustomRates!W15</f>
        <v>2.5</v>
      </c>
      <c r="E68" s="74">
        <f>CustomRates!W16</f>
        <v>0</v>
      </c>
      <c r="F68" s="101" t="str">
        <f t="shared" si="11"/>
        <v>0</v>
      </c>
    </row>
    <row r="69" spans="1:9" ht="20">
      <c r="A69" s="3"/>
      <c r="B69" s="108" t="str">
        <f>CustomRates!B17</f>
        <v>Custom self-propelled sprayer</v>
      </c>
      <c r="C69" s="32" t="str">
        <f>CustomRates!C17</f>
        <v>acre</v>
      </c>
      <c r="D69" s="100">
        <f>CustomRates!W17</f>
        <v>8</v>
      </c>
      <c r="E69" s="74">
        <f>CustomRates!W18</f>
        <v>0</v>
      </c>
      <c r="F69" s="101" t="str">
        <f t="shared" si="11"/>
        <v>0</v>
      </c>
    </row>
    <row r="70" spans="1:9" ht="20">
      <c r="A70" s="3"/>
      <c r="B70" s="108" t="str">
        <f>CustomRates!B19</f>
        <v>Additional Operation #8 (Custom)</v>
      </c>
      <c r="C70" s="32" t="str">
        <f>CustomRates!C19</f>
        <v>acre</v>
      </c>
      <c r="D70" s="100">
        <f>CustomRates!W19</f>
        <v>0</v>
      </c>
      <c r="E70" s="74">
        <f>CustomRates!W20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FieldApplications!$V$6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FieldApplications!$V$6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FieldApplications!$V$6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FieldApplications!$V$7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FieldApplications!$V$7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FieldApplications!$V$7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FieldApplications!$V$8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FieldApplications!$V$8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FieldApplications!$V$8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FieldApplications!$V$9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FieldApplications!$V$9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FieldApplications!$V$9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FieldApplications!$V$10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FieldApplications!$V$10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FieldApplications!$V$10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FieldApplications!$V$11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FieldApplications!$V$11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FieldApplications!$V$11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FieldApplications!$V$12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FieldApplications!$V$12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FieldApplications!$V$12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FieldApplications!$V$13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FieldApplications!$V$13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FieldApplications!$V$13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FieldApplications!$V$14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FieldApplications!$V$14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FieldApplications!$V$14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FieldApplications!$V$15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FieldApplications!$V$15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FieldApplications!$V$15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FieldApplications!$V$16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FieldApplications!$V$16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FieldApplications!$V$16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'Chem&amp;FertInputs&amp;CInsurance'!Y73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11.283007341009544</v>
      </c>
      <c r="G116" t="s">
        <v>111</v>
      </c>
      <c r="H116" s="40">
        <f>(SUM($F8:$F70)+$F115+SUM(H72:H113))*$D116</f>
        <v>11.283733445260488</v>
      </c>
      <c r="I116" s="40">
        <f>(SUM($F8:$F70)+$F115+SUM(I72:I113))*$D116</f>
        <v>11.142850605381602</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11.995247179410772</v>
      </c>
      <c r="G117" t="s">
        <v>4</v>
      </c>
      <c r="H117" s="40">
        <f>(SUM(F8:F70)+(F115+F116+H114))*((D117/12)*MachineAssumptions!D27)</f>
        <v>11.995982359964852</v>
      </c>
      <c r="I117" s="40">
        <f>(SUM(F8:F70)+(F115+F116+I114))*((D117/12)*MachineAssumptions!D27)</f>
        <v>11.85333848458748</v>
      </c>
      <c r="J117" s="40">
        <f>F73+F76+F79+F82+F85+F88+F91+F94+F97+F100+F103+F106+F109+F112</f>
        <v>37.921401983080372</v>
      </c>
      <c r="K117" t="s">
        <v>4</v>
      </c>
    </row>
    <row r="118" spans="1:13" ht="20">
      <c r="A118" s="3"/>
      <c r="B118" s="9" t="s">
        <v>85</v>
      </c>
      <c r="C118" s="22"/>
      <c r="D118" s="124"/>
      <c r="E118" s="125"/>
      <c r="F118" s="126">
        <f>SUM(F8:F117)</f>
        <v>248.93840134061116</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ref="F125:F126" si="16">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6"/>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24.040745623914123</v>
      </c>
      <c r="I135" s="37">
        <f t="shared" si="19"/>
        <v>24.041109476470602</v>
      </c>
    </row>
    <row r="136" spans="1:9" ht="20">
      <c r="A136" s="3"/>
      <c r="B136" s="5"/>
      <c r="C136" s="5"/>
      <c r="D136" s="10"/>
      <c r="E136" s="5"/>
      <c r="F136" s="97"/>
    </row>
    <row r="137" spans="1:9" ht="20">
      <c r="A137" s="3"/>
      <c r="B137" s="9" t="s">
        <v>31</v>
      </c>
      <c r="C137" s="22"/>
      <c r="D137" s="23"/>
      <c r="E137" s="22"/>
      <c r="F137" s="38">
        <f>F118+F135</f>
        <v>272.97951081708175</v>
      </c>
      <c r="H137" s="38">
        <f>SUM(F16:F70)+H114+F115+H116+H117+H135+F8+(H9*D9)+(H10*D10)+(H11*D11)+(H12*D12)+(H13*D13)+(H14*D14)+(H15*D15)</f>
        <v>272.9951303343492</v>
      </c>
      <c r="I137" s="38">
        <f>SUM(F16:F70)+I114+F115+I116+I117+I135+F8+(I9*D9)+(I10*D10)+(I11*D11)+(I12*D12)+(I13*D13)+(I14*D14)+(I15*D15)</f>
        <v>269.89431067407173</v>
      </c>
    </row>
    <row r="138" spans="1:9" ht="21">
      <c r="A138" s="3"/>
      <c r="B138" s="24" t="s">
        <v>32</v>
      </c>
      <c r="C138" s="25"/>
      <c r="D138" s="26"/>
      <c r="E138" s="25"/>
      <c r="F138" s="39">
        <f>F5-F137</f>
        <v>115.07048918291827</v>
      </c>
      <c r="H138" s="215">
        <f>H5-H137</f>
        <v>115.05486966565081</v>
      </c>
      <c r="I138" s="215">
        <f>I5-I137</f>
        <v>118.15568932592828</v>
      </c>
    </row>
    <row r="139" spans="1:9">
      <c r="A139" s="3"/>
    </row>
    <row r="140" spans="1:9">
      <c r="A140" s="3"/>
    </row>
    <row r="141" spans="1:9">
      <c r="A141" s="3"/>
    </row>
  </sheetData>
  <mergeCells count="1">
    <mergeCell ref="B2:F2"/>
  </mergeCells>
  <pageMargins left="0.7" right="0.7" top="0.75" bottom="0.75" header="0.3" footer="0.3"/>
  <pageSetup scale="62" orientation="portrait" r:id="rId1"/>
  <ignoredErrors>
    <ignoredError sqref="B135:F138 B114:F114 B3:F3 B115:D115 B116:F120 E127:G134 E124:G124 B121:C134 E121:F123 E125:F126 C13:E13 B61:E71 C8:D8 B2 B72:B113 D90:E113 D84:F89 D72:E83 B54:E57 B42:E51 B33:E40 B21:E31 B16:F16 B60:E60 C14:G14 F60:H60 B17:H20 G16:H16 B32:H32 F21:H31 B41:H41 F33:H40 B52:H53 F42:H51 B58:H59 F54:H57 B4:F7 E115 C15:G15 C9:E9 C10:E10 C11:E11 C12:E12 B9:B15" unlockedFormula="1"/>
    <ignoredError sqref="D127:D131 D132:D134 D125:D126 D121:D123 D124"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FF68-A5A7-A74F-8AA4-CC5D2B551D59}">
  <sheetPr codeName="Sheet1">
    <pageSetUpPr fitToPage="1"/>
  </sheetPr>
  <dimension ref="A1:KK153"/>
  <sheetViews>
    <sheetView zoomScale="110" zoomScaleNormal="110" workbookViewId="0">
      <selection activeCell="B2" sqref="B2:H2"/>
    </sheetView>
  </sheetViews>
  <sheetFormatPr baseColWidth="10" defaultColWidth="10.83203125" defaultRowHeight="15"/>
  <cols>
    <col min="1" max="1" width="2.1640625" customWidth="1"/>
    <col min="2" max="2" width="15.6640625" customWidth="1"/>
    <col min="3" max="3" width="10.6640625" customWidth="1"/>
    <col min="4" max="4" width="53.33203125" customWidth="1"/>
    <col min="5" max="5" width="12.83203125" customWidth="1"/>
    <col min="6" max="6" width="12.83203125" hidden="1" customWidth="1"/>
    <col min="7" max="7" width="12.6640625" customWidth="1"/>
    <col min="8" max="8" width="27.83203125" hidden="1" customWidth="1"/>
    <col min="9" max="9" width="16.83203125" customWidth="1"/>
    <col min="10" max="10" width="3.1640625" hidden="1" customWidth="1"/>
    <col min="11" max="11" width="16.1640625" hidden="1" customWidth="1"/>
    <col min="12" max="12" width="13.5" hidden="1" customWidth="1"/>
    <col min="13" max="13" width="16.83203125" hidden="1" customWidth="1"/>
    <col min="14" max="14" width="52" hidden="1" customWidth="1"/>
    <col min="15" max="20" width="16.83203125" hidden="1" customWidth="1"/>
    <col min="21" max="21" width="10.83203125" hidden="1" customWidth="1"/>
    <col min="22" max="22" width="12.6640625" hidden="1" customWidth="1"/>
    <col min="23" max="23" width="12.5" hidden="1" customWidth="1"/>
    <col min="24" max="24" width="14.33203125" hidden="1" customWidth="1"/>
    <col min="25" max="25" width="12.33203125" hidden="1" customWidth="1"/>
    <col min="26" max="26" width="15.83203125" hidden="1" customWidth="1"/>
    <col min="27" max="27" width="17.6640625" hidden="1" customWidth="1"/>
    <col min="28" max="33" width="10.83203125" hidden="1" customWidth="1"/>
    <col min="34" max="34" width="11.6640625" hidden="1" customWidth="1"/>
    <col min="35" max="41" width="10.83203125" hidden="1" customWidth="1"/>
    <col min="42" max="42" width="12.1640625" hidden="1" customWidth="1"/>
    <col min="43" max="45" width="10.83203125" hidden="1" customWidth="1"/>
    <col min="46" max="46" width="17" hidden="1" customWidth="1"/>
    <col min="47" max="47" width="12.5" hidden="1" customWidth="1"/>
    <col min="48" max="48" width="12.1640625" hidden="1" customWidth="1"/>
    <col min="49" max="49" width="12.33203125" hidden="1" customWidth="1"/>
    <col min="50" max="50" width="15.83203125" hidden="1" customWidth="1"/>
    <col min="51" max="57" width="10.83203125" hidden="1" customWidth="1"/>
    <col min="58" max="58" width="11.6640625" hidden="1" customWidth="1"/>
    <col min="59" max="69" width="10.83203125" hidden="1" customWidth="1"/>
    <col min="70" max="70" width="16.1640625" hidden="1" customWidth="1"/>
    <col min="71" max="71" width="12.5" hidden="1" customWidth="1"/>
    <col min="72" max="72" width="12.1640625" hidden="1" customWidth="1"/>
    <col min="73" max="73" width="12.33203125" hidden="1" customWidth="1"/>
    <col min="74" max="74" width="15.83203125" hidden="1" customWidth="1"/>
    <col min="75" max="75" width="17.6640625" hidden="1" customWidth="1"/>
    <col min="76" max="81" width="10.83203125" hidden="1" customWidth="1"/>
    <col min="82" max="82" width="11.6640625" hidden="1" customWidth="1"/>
    <col min="83" max="93" width="10.83203125" hidden="1" customWidth="1"/>
    <col min="94" max="94" width="12.6640625" hidden="1" customWidth="1"/>
    <col min="95" max="95" width="12.5" hidden="1" customWidth="1"/>
    <col min="96" max="96" width="12.1640625" hidden="1" customWidth="1"/>
    <col min="97" max="97" width="12.33203125" hidden="1" customWidth="1"/>
    <col min="98" max="98" width="15.83203125" hidden="1" customWidth="1"/>
    <col min="99" max="99" width="17.6640625" hidden="1" customWidth="1"/>
    <col min="100" max="100" width="9.6640625" hidden="1" customWidth="1"/>
    <col min="101" max="105" width="10.83203125" hidden="1" customWidth="1"/>
    <col min="106" max="106" width="11.6640625" hidden="1" customWidth="1"/>
    <col min="107" max="117" width="10.83203125" hidden="1" customWidth="1"/>
    <col min="118" max="118" width="15.1640625" hidden="1" customWidth="1"/>
    <col min="119" max="119" width="12.5" hidden="1" customWidth="1"/>
    <col min="120" max="120" width="12.1640625" hidden="1" customWidth="1"/>
    <col min="121" max="121" width="12.33203125" hidden="1" customWidth="1"/>
    <col min="122" max="122" width="15.83203125" hidden="1" customWidth="1"/>
    <col min="123" max="123" width="17.6640625" hidden="1" customWidth="1"/>
    <col min="124" max="129" width="10.83203125" hidden="1" customWidth="1"/>
    <col min="130" max="130" width="11.6640625" hidden="1" customWidth="1"/>
    <col min="131" max="141" width="10.83203125" hidden="1" customWidth="1"/>
    <col min="142" max="142" width="12.6640625" hidden="1" customWidth="1"/>
    <col min="143" max="143" width="12.5" hidden="1" customWidth="1"/>
    <col min="144" max="144" width="12.1640625" hidden="1" customWidth="1"/>
    <col min="145" max="145" width="12.33203125" hidden="1" customWidth="1"/>
    <col min="146" max="146" width="15.83203125" hidden="1" customWidth="1"/>
    <col min="147" max="147" width="17.6640625" hidden="1" customWidth="1"/>
    <col min="148" max="153" width="10.83203125" hidden="1" customWidth="1"/>
    <col min="154" max="154" width="11.6640625" hidden="1" customWidth="1"/>
    <col min="155" max="165" width="10.83203125" hidden="1" customWidth="1"/>
    <col min="166" max="166" width="12.6640625" hidden="1" customWidth="1"/>
    <col min="167" max="167" width="12.5" hidden="1" customWidth="1"/>
    <col min="168" max="168" width="12.1640625" hidden="1" customWidth="1"/>
    <col min="169" max="169" width="12.33203125" hidden="1" customWidth="1"/>
    <col min="170" max="170" width="15.83203125" hidden="1" customWidth="1"/>
    <col min="171" max="171" width="17.6640625" hidden="1" customWidth="1"/>
    <col min="172" max="177" width="10.83203125" hidden="1" customWidth="1"/>
    <col min="178" max="178" width="11.6640625" hidden="1" customWidth="1"/>
    <col min="179" max="189" width="10.83203125" hidden="1" customWidth="1"/>
    <col min="190" max="190" width="12.6640625" hidden="1" customWidth="1"/>
    <col min="191" max="191" width="12.5" hidden="1" customWidth="1"/>
    <col min="192" max="192" width="12.1640625" hidden="1" customWidth="1"/>
    <col min="193" max="193" width="12.33203125" hidden="1" customWidth="1"/>
    <col min="194" max="194" width="15.83203125" hidden="1" customWidth="1"/>
    <col min="195" max="195" width="17.6640625" hidden="1" customWidth="1"/>
    <col min="196" max="201" width="10.83203125" hidden="1" customWidth="1"/>
    <col min="202" max="202" width="11.6640625" hidden="1" customWidth="1"/>
    <col min="203" max="213" width="10.83203125" hidden="1" customWidth="1"/>
    <col min="214" max="214" width="12.6640625" hidden="1" customWidth="1"/>
    <col min="215" max="215" width="12.5" hidden="1" customWidth="1"/>
    <col min="216" max="216" width="12.1640625" hidden="1" customWidth="1"/>
    <col min="217" max="217" width="12.33203125" hidden="1" customWidth="1"/>
    <col min="218" max="218" width="15.83203125" hidden="1" customWidth="1"/>
    <col min="219" max="219" width="17.6640625" hidden="1" customWidth="1"/>
    <col min="220" max="225" width="10.83203125" hidden="1" customWidth="1"/>
    <col min="226" max="226" width="11.6640625" hidden="1" customWidth="1"/>
    <col min="227" max="237" width="10.83203125" hidden="1" customWidth="1"/>
    <col min="238" max="238" width="12.6640625" hidden="1" customWidth="1"/>
    <col min="239" max="239" width="12.5" hidden="1" customWidth="1"/>
    <col min="240" max="240" width="12.1640625" hidden="1" customWidth="1"/>
    <col min="241" max="241" width="12.33203125" hidden="1" customWidth="1"/>
    <col min="242" max="242" width="15.83203125" hidden="1" customWidth="1"/>
    <col min="243" max="243" width="17.6640625" hidden="1" customWidth="1"/>
    <col min="244" max="249" width="10.83203125" hidden="1" customWidth="1"/>
    <col min="250" max="250" width="11.6640625" hidden="1" customWidth="1"/>
    <col min="251" max="285" width="10.83203125" hidden="1" customWidth="1"/>
    <col min="286" max="286" width="10.83203125" style="3" hidden="1" customWidth="1"/>
    <col min="287" max="295" width="10.83203125" style="3" customWidth="1"/>
    <col min="296" max="297" width="10.83203125" style="3"/>
  </cols>
  <sheetData>
    <row r="1" spans="1:288">
      <c r="A1" s="3"/>
      <c r="B1" s="3"/>
      <c r="C1" s="3"/>
      <c r="D1" s="3"/>
      <c r="E1" s="3"/>
      <c r="F1" s="3"/>
      <c r="G1" s="3"/>
      <c r="H1" s="3"/>
      <c r="I1" s="3"/>
      <c r="J1" s="3"/>
      <c r="K1" s="3"/>
      <c r="L1" s="3"/>
      <c r="M1" s="3"/>
      <c r="N1" s="3"/>
      <c r="O1" s="3"/>
      <c r="P1" s="3"/>
      <c r="Q1" s="3"/>
      <c r="R1" s="3"/>
      <c r="S1" s="3"/>
      <c r="T1" s="3"/>
      <c r="V1">
        <v>35</v>
      </c>
      <c r="W1">
        <v>36</v>
      </c>
      <c r="X1">
        <v>37</v>
      </c>
      <c r="Y1">
        <v>38</v>
      </c>
      <c r="Z1">
        <v>39</v>
      </c>
      <c r="AA1">
        <v>40</v>
      </c>
      <c r="AB1">
        <v>41</v>
      </c>
      <c r="AC1">
        <v>42</v>
      </c>
      <c r="AD1">
        <v>43</v>
      </c>
      <c r="AE1">
        <v>44</v>
      </c>
      <c r="AF1">
        <v>45</v>
      </c>
      <c r="AG1">
        <v>46</v>
      </c>
      <c r="AH1">
        <v>47</v>
      </c>
      <c r="AI1">
        <v>48</v>
      </c>
      <c r="AJ1">
        <v>49</v>
      </c>
      <c r="AK1">
        <v>50</v>
      </c>
      <c r="AL1">
        <v>51</v>
      </c>
      <c r="AM1">
        <v>52</v>
      </c>
      <c r="AN1">
        <v>53</v>
      </c>
      <c r="AO1">
        <v>54</v>
      </c>
      <c r="AP1">
        <v>55</v>
      </c>
      <c r="AQ1">
        <v>56</v>
      </c>
      <c r="AR1">
        <v>57</v>
      </c>
      <c r="AS1">
        <v>58</v>
      </c>
    </row>
    <row r="2" spans="1:288" ht="20">
      <c r="A2" s="3"/>
      <c r="B2" s="626" t="s">
        <v>306</v>
      </c>
      <c r="C2" s="626"/>
      <c r="D2" s="626"/>
      <c r="E2" s="626"/>
      <c r="F2" s="626"/>
      <c r="G2" s="626"/>
      <c r="H2" s="626"/>
      <c r="I2" s="216">
        <v>2500</v>
      </c>
      <c r="J2" s="238"/>
      <c r="M2" s="248"/>
      <c r="N2" s="626" t="s">
        <v>132</v>
      </c>
      <c r="O2" s="626"/>
      <c r="P2" s="204" t="s">
        <v>95</v>
      </c>
      <c r="Q2" s="205" t="s">
        <v>99</v>
      </c>
      <c r="R2" s="248"/>
      <c r="S2" s="248"/>
      <c r="T2" s="238"/>
      <c r="V2" t="s">
        <v>117</v>
      </c>
      <c r="AS2" s="44"/>
      <c r="AT2" t="s">
        <v>131</v>
      </c>
      <c r="BQ2" s="44"/>
      <c r="BR2" t="s">
        <v>133</v>
      </c>
      <c r="CO2" s="44"/>
      <c r="CP2" t="s">
        <v>109</v>
      </c>
      <c r="DM2" s="44"/>
      <c r="DN2" t="s">
        <v>110</v>
      </c>
      <c r="EK2" s="44"/>
      <c r="EL2" t="s">
        <v>111</v>
      </c>
      <c r="FI2" s="44"/>
      <c r="FJ2" t="s">
        <v>4</v>
      </c>
      <c r="GG2" s="44"/>
      <c r="GH2" t="s">
        <v>112</v>
      </c>
      <c r="HE2" s="44"/>
      <c r="HF2" t="s">
        <v>125</v>
      </c>
      <c r="IC2" s="44"/>
      <c r="ID2" t="s">
        <v>126</v>
      </c>
      <c r="JB2" s="375" t="s">
        <v>300</v>
      </c>
      <c r="KA2" s="578"/>
      <c r="KB2" s="578"/>
    </row>
    <row r="3" spans="1:288" ht="20" customHeight="1">
      <c r="A3" s="3"/>
      <c r="B3" s="627" t="s">
        <v>103</v>
      </c>
      <c r="C3" s="629" t="s">
        <v>193</v>
      </c>
      <c r="D3" s="631" t="s">
        <v>194</v>
      </c>
      <c r="E3" s="629" t="s">
        <v>196</v>
      </c>
      <c r="F3" s="635" t="s">
        <v>244</v>
      </c>
      <c r="G3" s="633" t="s">
        <v>105</v>
      </c>
      <c r="H3" s="635" t="s">
        <v>243</v>
      </c>
      <c r="I3" s="637" t="s">
        <v>104</v>
      </c>
      <c r="J3" s="195"/>
      <c r="M3" s="249"/>
      <c r="N3" s="5" t="s">
        <v>129</v>
      </c>
      <c r="O3" s="196">
        <v>19025.161209340673</v>
      </c>
      <c r="P3" s="196">
        <f>SUM('Farm and Rotation Setup'!BR5:CO9)</f>
        <v>777869.16675909888</v>
      </c>
      <c r="Q3" s="197">
        <f t="shared" ref="Q3:Q10" si="0">IF(P3=0,"",((P3-O3)/O3))</f>
        <v>39.886337739792346</v>
      </c>
      <c r="R3" s="249"/>
      <c r="S3" s="249"/>
      <c r="T3" s="195"/>
      <c r="U3" s="605" t="s">
        <v>8</v>
      </c>
      <c r="V3" s="603" t="str">
        <f>$B35</f>
        <v>SW Winter Wheat after Spring Legume</v>
      </c>
      <c r="W3" s="603" t="str">
        <f>$B36</f>
        <v>SW Winter Wheat after Forage Crop</v>
      </c>
      <c r="X3" s="603" t="str">
        <f>$B37</f>
        <v>DN Spring Wheat after Spring Legume</v>
      </c>
      <c r="Y3" s="603" t="str">
        <f>$B38</f>
        <v>DN Spring Wheat after Forage Crop</v>
      </c>
      <c r="Z3" s="603" t="str">
        <f>$B39</f>
        <v>DN Spring Wheat after Winter Crop</v>
      </c>
      <c r="AA3" s="603" t="str">
        <f>$B40</f>
        <v>Chickpea after Forage Crop</v>
      </c>
      <c r="AB3" s="603" t="str">
        <f>$B41</f>
        <v>Chickpea after Cereal</v>
      </c>
      <c r="AC3" s="603" t="str">
        <f>$B42</f>
        <v>Spring Pea after Cereal</v>
      </c>
      <c r="AD3" s="603" t="str">
        <f>$B43</f>
        <v>Forage Crop-St. John Area</v>
      </c>
      <c r="AE3" s="603" t="str">
        <f>$B44</f>
        <v>Forage Crop-Genesee Area</v>
      </c>
      <c r="AF3" s="603" t="str">
        <f>$B45</f>
        <v>Livestock Grazing</v>
      </c>
      <c r="AG3" s="603" t="str">
        <f>$B46</f>
        <v>SW Winter Wheat after Cereal</v>
      </c>
      <c r="AH3" s="603" t="str">
        <f>$B47</f>
        <v>SW Winter Wheat after Fallow</v>
      </c>
      <c r="AI3" s="603" t="str">
        <f>$B48</f>
        <v>Chem-Fallow</v>
      </c>
      <c r="AJ3" s="603" t="str">
        <f>$B49</f>
        <v>Flex-Fallow</v>
      </c>
      <c r="AK3" s="603" t="str">
        <f>$B50</f>
        <v>Spring Barley</v>
      </c>
      <c r="AL3" s="603" t="str">
        <f>$B51</f>
        <v>Roundup Ready Spring Canola</v>
      </c>
      <c r="AM3" s="603" t="str">
        <f>$B52</f>
        <v>Spring Canola</v>
      </c>
      <c r="AN3" s="603" t="str">
        <f>$B53</f>
        <v>Spring Lentils</v>
      </c>
      <c r="AO3" s="603" t="str">
        <f>$B54</f>
        <v>SW Spring Wheat</v>
      </c>
      <c r="AP3" s="603" t="str">
        <f>$B55</f>
        <v>HR Winter Wheat</v>
      </c>
      <c r="AQ3" s="603" t="str">
        <f>$B56</f>
        <v>Winter Pea</v>
      </c>
      <c r="AR3" s="603" t="str">
        <f>$B57</f>
        <v>Winter Canola</v>
      </c>
      <c r="AS3" s="604" t="str">
        <f>$B58</f>
        <v>Forage Crop-Soil Builder Blend</v>
      </c>
      <c r="AT3" s="603" t="str">
        <f>$B35</f>
        <v>SW Winter Wheat after Spring Legume</v>
      </c>
      <c r="AU3" s="603" t="str">
        <f>$B36</f>
        <v>SW Winter Wheat after Forage Crop</v>
      </c>
      <c r="AV3" s="603" t="str">
        <f>$B37</f>
        <v>DN Spring Wheat after Spring Legume</v>
      </c>
      <c r="AW3" s="603" t="str">
        <f>$B38</f>
        <v>DN Spring Wheat after Forage Crop</v>
      </c>
      <c r="AX3" s="603" t="str">
        <f>$B39</f>
        <v>DN Spring Wheat after Winter Crop</v>
      </c>
      <c r="AY3" s="603" t="str">
        <f>$B40</f>
        <v>Chickpea after Forage Crop</v>
      </c>
      <c r="AZ3" s="603" t="str">
        <f>$B41</f>
        <v>Chickpea after Cereal</v>
      </c>
      <c r="BA3" s="603" t="str">
        <f>$B42</f>
        <v>Spring Pea after Cereal</v>
      </c>
      <c r="BB3" s="603" t="str">
        <f>$B58</f>
        <v>Forage Crop-Soil Builder Blend</v>
      </c>
      <c r="BC3" s="603" t="str">
        <f>$B44</f>
        <v>Forage Crop-Genesee Area</v>
      </c>
      <c r="BD3" s="603" t="str">
        <f>$B45</f>
        <v>Livestock Grazing</v>
      </c>
      <c r="BE3" s="603" t="str">
        <f>$B46</f>
        <v>SW Winter Wheat after Cereal</v>
      </c>
      <c r="BF3" s="603" t="str">
        <f>$B47</f>
        <v>SW Winter Wheat after Fallow</v>
      </c>
      <c r="BG3" s="603" t="str">
        <f>$B48</f>
        <v>Chem-Fallow</v>
      </c>
      <c r="BH3" s="603" t="str">
        <f>$B49</f>
        <v>Flex-Fallow</v>
      </c>
      <c r="BI3" s="603" t="str">
        <f>$B50</f>
        <v>Spring Barley</v>
      </c>
      <c r="BJ3" s="603" t="str">
        <f>$B51</f>
        <v>Roundup Ready Spring Canola</v>
      </c>
      <c r="BK3" s="603" t="str">
        <f>$B52</f>
        <v>Spring Canola</v>
      </c>
      <c r="BL3" s="603" t="str">
        <f>$B53</f>
        <v>Spring Lentils</v>
      </c>
      <c r="BM3" s="603" t="str">
        <f>$B54</f>
        <v>SW Spring Wheat</v>
      </c>
      <c r="BN3" s="603" t="str">
        <f>$B55</f>
        <v>HR Winter Wheat</v>
      </c>
      <c r="BO3" s="603" t="str">
        <f>$B56</f>
        <v>Winter Pea</v>
      </c>
      <c r="BP3" s="603" t="str">
        <f>$B57</f>
        <v>Winter Canola</v>
      </c>
      <c r="BQ3" s="604" t="str">
        <f>$B58</f>
        <v>Forage Crop-Soil Builder Blend</v>
      </c>
      <c r="BR3" s="603" t="str">
        <f>$B35</f>
        <v>SW Winter Wheat after Spring Legume</v>
      </c>
      <c r="BS3" s="603" t="str">
        <f>$B36</f>
        <v>SW Winter Wheat after Forage Crop</v>
      </c>
      <c r="BT3" s="603" t="str">
        <f>$B37</f>
        <v>DN Spring Wheat after Spring Legume</v>
      </c>
      <c r="BU3" s="603" t="str">
        <f>$B38</f>
        <v>DN Spring Wheat after Forage Crop</v>
      </c>
      <c r="BV3" s="603" t="str">
        <f>$B39</f>
        <v>DN Spring Wheat after Winter Crop</v>
      </c>
      <c r="BW3" s="603" t="str">
        <f>$B40</f>
        <v>Chickpea after Forage Crop</v>
      </c>
      <c r="BX3" s="603" t="str">
        <f>$B41</f>
        <v>Chickpea after Cereal</v>
      </c>
      <c r="BY3" s="603" t="str">
        <f>$B42</f>
        <v>Spring Pea after Cereal</v>
      </c>
      <c r="BZ3" s="603" t="str">
        <f>$B58</f>
        <v>Forage Crop-Soil Builder Blend</v>
      </c>
      <c r="CA3" s="603" t="str">
        <f>$B44</f>
        <v>Forage Crop-Genesee Area</v>
      </c>
      <c r="CB3" s="603" t="str">
        <f>$B45</f>
        <v>Livestock Grazing</v>
      </c>
      <c r="CC3" s="603" t="str">
        <f>$B46</f>
        <v>SW Winter Wheat after Cereal</v>
      </c>
      <c r="CD3" s="603" t="str">
        <f>$B47</f>
        <v>SW Winter Wheat after Fallow</v>
      </c>
      <c r="CE3" s="603" t="str">
        <f>$B48</f>
        <v>Chem-Fallow</v>
      </c>
      <c r="CF3" s="603" t="str">
        <f>$B49</f>
        <v>Flex-Fallow</v>
      </c>
      <c r="CG3" s="603" t="str">
        <f>$B50</f>
        <v>Spring Barley</v>
      </c>
      <c r="CH3" s="603" t="str">
        <f>$B51</f>
        <v>Roundup Ready Spring Canola</v>
      </c>
      <c r="CI3" s="603" t="str">
        <f>$B52</f>
        <v>Spring Canola</v>
      </c>
      <c r="CJ3" s="603" t="str">
        <f>$B53</f>
        <v>Spring Lentils</v>
      </c>
      <c r="CK3" s="603" t="str">
        <f>$B54</f>
        <v>SW Spring Wheat</v>
      </c>
      <c r="CL3" s="603" t="str">
        <f>$B55</f>
        <v>HR Winter Wheat</v>
      </c>
      <c r="CM3" s="603" t="str">
        <f>$B56</f>
        <v>Winter Pea</v>
      </c>
      <c r="CN3" s="603" t="str">
        <f>$B57</f>
        <v>Winter Canola</v>
      </c>
      <c r="CO3" s="604" t="str">
        <f>$B58</f>
        <v>Forage Crop-Soil Builder Blend</v>
      </c>
      <c r="CP3" s="603" t="str">
        <f>$B35</f>
        <v>SW Winter Wheat after Spring Legume</v>
      </c>
      <c r="CQ3" s="603" t="str">
        <f>$B36</f>
        <v>SW Winter Wheat after Forage Crop</v>
      </c>
      <c r="CR3" s="603" t="str">
        <f>$B37</f>
        <v>DN Spring Wheat after Spring Legume</v>
      </c>
      <c r="CS3" s="603" t="str">
        <f>$B38</f>
        <v>DN Spring Wheat after Forage Crop</v>
      </c>
      <c r="CT3" s="603" t="str">
        <f>$B39</f>
        <v>DN Spring Wheat after Winter Crop</v>
      </c>
      <c r="CU3" s="603" t="str">
        <f>$B40</f>
        <v>Chickpea after Forage Crop</v>
      </c>
      <c r="CV3" s="603" t="str">
        <f>$B41</f>
        <v>Chickpea after Cereal</v>
      </c>
      <c r="CW3" s="603" t="str">
        <f>$B42</f>
        <v>Spring Pea after Cereal</v>
      </c>
      <c r="CX3" s="603" t="str">
        <f>$B58</f>
        <v>Forage Crop-Soil Builder Blend</v>
      </c>
      <c r="CY3" s="603" t="str">
        <f>$B44</f>
        <v>Forage Crop-Genesee Area</v>
      </c>
      <c r="CZ3" s="603" t="str">
        <f>$B45</f>
        <v>Livestock Grazing</v>
      </c>
      <c r="DA3" s="603" t="str">
        <f>$B46</f>
        <v>SW Winter Wheat after Cereal</v>
      </c>
      <c r="DB3" s="603" t="str">
        <f>$B47</f>
        <v>SW Winter Wheat after Fallow</v>
      </c>
      <c r="DC3" s="603" t="str">
        <f>$B48</f>
        <v>Chem-Fallow</v>
      </c>
      <c r="DD3" s="603" t="str">
        <f>$B49</f>
        <v>Flex-Fallow</v>
      </c>
      <c r="DE3" s="603" t="str">
        <f>$B50</f>
        <v>Spring Barley</v>
      </c>
      <c r="DF3" s="603" t="str">
        <f>$B51</f>
        <v>Roundup Ready Spring Canola</v>
      </c>
      <c r="DG3" s="603" t="str">
        <f>$B52</f>
        <v>Spring Canola</v>
      </c>
      <c r="DH3" s="603" t="str">
        <f>$B53</f>
        <v>Spring Lentils</v>
      </c>
      <c r="DI3" s="603" t="str">
        <f>$B54</f>
        <v>SW Spring Wheat</v>
      </c>
      <c r="DJ3" s="603" t="str">
        <f>$B55</f>
        <v>HR Winter Wheat</v>
      </c>
      <c r="DK3" s="603" t="str">
        <f>$B56</f>
        <v>Winter Pea</v>
      </c>
      <c r="DL3" s="603" t="str">
        <f>$B57</f>
        <v>Winter Canola</v>
      </c>
      <c r="DM3" s="604" t="str">
        <f>$B58</f>
        <v>Forage Crop-Soil Builder Blend</v>
      </c>
      <c r="DN3" s="603" t="str">
        <f>$B35</f>
        <v>SW Winter Wheat after Spring Legume</v>
      </c>
      <c r="DO3" s="603" t="str">
        <f>$B36</f>
        <v>SW Winter Wheat after Forage Crop</v>
      </c>
      <c r="DP3" s="603" t="str">
        <f>$B37</f>
        <v>DN Spring Wheat after Spring Legume</v>
      </c>
      <c r="DQ3" s="603" t="str">
        <f>$B38</f>
        <v>DN Spring Wheat after Forage Crop</v>
      </c>
      <c r="DR3" s="603" t="str">
        <f>$B39</f>
        <v>DN Spring Wheat after Winter Crop</v>
      </c>
      <c r="DS3" s="603" t="str">
        <f>$B40</f>
        <v>Chickpea after Forage Crop</v>
      </c>
      <c r="DT3" s="603" t="str">
        <f>$B41</f>
        <v>Chickpea after Cereal</v>
      </c>
      <c r="DU3" s="603" t="str">
        <f>$B42</f>
        <v>Spring Pea after Cereal</v>
      </c>
      <c r="DV3" s="603" t="str">
        <f>$B58</f>
        <v>Forage Crop-Soil Builder Blend</v>
      </c>
      <c r="DW3" s="603" t="str">
        <f>$B44</f>
        <v>Forage Crop-Genesee Area</v>
      </c>
      <c r="DX3" s="603" t="str">
        <f>$B45</f>
        <v>Livestock Grazing</v>
      </c>
      <c r="DY3" s="603" t="str">
        <f>$B46</f>
        <v>SW Winter Wheat after Cereal</v>
      </c>
      <c r="DZ3" s="603" t="str">
        <f>$B47</f>
        <v>SW Winter Wheat after Fallow</v>
      </c>
      <c r="EA3" s="603" t="str">
        <f>$B48</f>
        <v>Chem-Fallow</v>
      </c>
      <c r="EB3" s="603" t="str">
        <f>$B49</f>
        <v>Flex-Fallow</v>
      </c>
      <c r="EC3" s="603" t="str">
        <f>$B50</f>
        <v>Spring Barley</v>
      </c>
      <c r="ED3" s="603" t="str">
        <f>$B51</f>
        <v>Roundup Ready Spring Canola</v>
      </c>
      <c r="EE3" s="603" t="str">
        <f>$B52</f>
        <v>Spring Canola</v>
      </c>
      <c r="EF3" s="603" t="str">
        <f>$B53</f>
        <v>Spring Lentils</v>
      </c>
      <c r="EG3" s="603" t="str">
        <f>$B54</f>
        <v>SW Spring Wheat</v>
      </c>
      <c r="EH3" s="603" t="str">
        <f>$B55</f>
        <v>HR Winter Wheat</v>
      </c>
      <c r="EI3" s="603" t="str">
        <f>$B56</f>
        <v>Winter Pea</v>
      </c>
      <c r="EJ3" s="603" t="str">
        <f>$B57</f>
        <v>Winter Canola</v>
      </c>
      <c r="EK3" s="604" t="str">
        <f>$B58</f>
        <v>Forage Crop-Soil Builder Blend</v>
      </c>
      <c r="EL3" s="603" t="str">
        <f>$B35</f>
        <v>SW Winter Wheat after Spring Legume</v>
      </c>
      <c r="EM3" s="603" t="str">
        <f>$B36</f>
        <v>SW Winter Wheat after Forage Crop</v>
      </c>
      <c r="EN3" s="603" t="str">
        <f>$B37</f>
        <v>DN Spring Wheat after Spring Legume</v>
      </c>
      <c r="EO3" s="603" t="str">
        <f>$B38</f>
        <v>DN Spring Wheat after Forage Crop</v>
      </c>
      <c r="EP3" s="603" t="str">
        <f>$B39</f>
        <v>DN Spring Wheat after Winter Crop</v>
      </c>
      <c r="EQ3" s="603" t="str">
        <f>$B40</f>
        <v>Chickpea after Forage Crop</v>
      </c>
      <c r="ER3" s="603" t="str">
        <f>$B41</f>
        <v>Chickpea after Cereal</v>
      </c>
      <c r="ES3" s="603" t="str">
        <f>$B42</f>
        <v>Spring Pea after Cereal</v>
      </c>
      <c r="ET3" s="603" t="str">
        <f>$B58</f>
        <v>Forage Crop-Soil Builder Blend</v>
      </c>
      <c r="EU3" s="603" t="str">
        <f>$B44</f>
        <v>Forage Crop-Genesee Area</v>
      </c>
      <c r="EV3" s="603" t="str">
        <f>$B45</f>
        <v>Livestock Grazing</v>
      </c>
      <c r="EW3" s="603" t="str">
        <f>$B46</f>
        <v>SW Winter Wheat after Cereal</v>
      </c>
      <c r="EX3" s="603" t="str">
        <f>$B47</f>
        <v>SW Winter Wheat after Fallow</v>
      </c>
      <c r="EY3" s="603" t="str">
        <f>$B48</f>
        <v>Chem-Fallow</v>
      </c>
      <c r="EZ3" s="603" t="str">
        <f>$B49</f>
        <v>Flex-Fallow</v>
      </c>
      <c r="FA3" s="603" t="str">
        <f>$B50</f>
        <v>Spring Barley</v>
      </c>
      <c r="FB3" s="603" t="str">
        <f>$B51</f>
        <v>Roundup Ready Spring Canola</v>
      </c>
      <c r="FC3" s="603" t="str">
        <f>$B52</f>
        <v>Spring Canola</v>
      </c>
      <c r="FD3" s="603" t="str">
        <f>$B53</f>
        <v>Spring Lentils</v>
      </c>
      <c r="FE3" s="603" t="str">
        <f>$B54</f>
        <v>SW Spring Wheat</v>
      </c>
      <c r="FF3" s="603" t="str">
        <f>$B55</f>
        <v>HR Winter Wheat</v>
      </c>
      <c r="FG3" s="603" t="str">
        <f>$B56</f>
        <v>Winter Pea</v>
      </c>
      <c r="FH3" s="603" t="str">
        <f>$B57</f>
        <v>Winter Canola</v>
      </c>
      <c r="FI3" s="604" t="str">
        <f>$B58</f>
        <v>Forage Crop-Soil Builder Blend</v>
      </c>
      <c r="FJ3" s="603" t="str">
        <f>$B35</f>
        <v>SW Winter Wheat after Spring Legume</v>
      </c>
      <c r="FK3" s="603" t="str">
        <f>$B36</f>
        <v>SW Winter Wheat after Forage Crop</v>
      </c>
      <c r="FL3" s="603" t="str">
        <f>$B37</f>
        <v>DN Spring Wheat after Spring Legume</v>
      </c>
      <c r="FM3" s="603" t="str">
        <f>$B38</f>
        <v>DN Spring Wheat after Forage Crop</v>
      </c>
      <c r="FN3" s="603" t="str">
        <f>$B39</f>
        <v>DN Spring Wheat after Winter Crop</v>
      </c>
      <c r="FO3" s="603" t="str">
        <f>$B40</f>
        <v>Chickpea after Forage Crop</v>
      </c>
      <c r="FP3" s="603" t="str">
        <f>$B41</f>
        <v>Chickpea after Cereal</v>
      </c>
      <c r="FQ3" s="603" t="str">
        <f>$B42</f>
        <v>Spring Pea after Cereal</v>
      </c>
      <c r="FR3" s="603" t="str">
        <f>$B58</f>
        <v>Forage Crop-Soil Builder Blend</v>
      </c>
      <c r="FS3" s="603" t="str">
        <f>$B44</f>
        <v>Forage Crop-Genesee Area</v>
      </c>
      <c r="FT3" s="603" t="str">
        <f>$B45</f>
        <v>Livestock Grazing</v>
      </c>
      <c r="FU3" s="603" t="str">
        <f>$B46</f>
        <v>SW Winter Wheat after Cereal</v>
      </c>
      <c r="FV3" s="603" t="str">
        <f>$B47</f>
        <v>SW Winter Wheat after Fallow</v>
      </c>
      <c r="FW3" s="603" t="str">
        <f>$B48</f>
        <v>Chem-Fallow</v>
      </c>
      <c r="FX3" s="603" t="str">
        <f>$B49</f>
        <v>Flex-Fallow</v>
      </c>
      <c r="FY3" s="603" t="str">
        <f>$B50</f>
        <v>Spring Barley</v>
      </c>
      <c r="FZ3" s="603" t="str">
        <f>$B51</f>
        <v>Roundup Ready Spring Canola</v>
      </c>
      <c r="GA3" s="603" t="str">
        <f>$B52</f>
        <v>Spring Canola</v>
      </c>
      <c r="GB3" s="603" t="str">
        <f>$B53</f>
        <v>Spring Lentils</v>
      </c>
      <c r="GC3" s="603" t="str">
        <f>$B54</f>
        <v>SW Spring Wheat</v>
      </c>
      <c r="GD3" s="603" t="str">
        <f>$B55</f>
        <v>HR Winter Wheat</v>
      </c>
      <c r="GE3" s="603" t="str">
        <f>$B56</f>
        <v>Winter Pea</v>
      </c>
      <c r="GF3" s="603" t="str">
        <f>$B57</f>
        <v>Winter Canola</v>
      </c>
      <c r="GG3" s="604" t="str">
        <f>$B58</f>
        <v>Forage Crop-Soil Builder Blend</v>
      </c>
      <c r="GH3" s="603" t="str">
        <f>$B35</f>
        <v>SW Winter Wheat after Spring Legume</v>
      </c>
      <c r="GI3" s="603" t="str">
        <f>$B36</f>
        <v>SW Winter Wheat after Forage Crop</v>
      </c>
      <c r="GJ3" s="603" t="str">
        <f>$B37</f>
        <v>DN Spring Wheat after Spring Legume</v>
      </c>
      <c r="GK3" s="603" t="str">
        <f>$B38</f>
        <v>DN Spring Wheat after Forage Crop</v>
      </c>
      <c r="GL3" s="603" t="str">
        <f>$B39</f>
        <v>DN Spring Wheat after Winter Crop</v>
      </c>
      <c r="GM3" s="603" t="str">
        <f>$B40</f>
        <v>Chickpea after Forage Crop</v>
      </c>
      <c r="GN3" s="603" t="str">
        <f>$B41</f>
        <v>Chickpea after Cereal</v>
      </c>
      <c r="GO3" s="603" t="str">
        <f>$B42</f>
        <v>Spring Pea after Cereal</v>
      </c>
      <c r="GP3" s="603" t="str">
        <f>$B58</f>
        <v>Forage Crop-Soil Builder Blend</v>
      </c>
      <c r="GQ3" s="603" t="str">
        <f>$B44</f>
        <v>Forage Crop-Genesee Area</v>
      </c>
      <c r="GR3" s="603" t="str">
        <f>$B45</f>
        <v>Livestock Grazing</v>
      </c>
      <c r="GS3" s="603" t="str">
        <f>$B46</f>
        <v>SW Winter Wheat after Cereal</v>
      </c>
      <c r="GT3" s="603" t="str">
        <f>$B47</f>
        <v>SW Winter Wheat after Fallow</v>
      </c>
      <c r="GU3" s="603" t="str">
        <f>$B48</f>
        <v>Chem-Fallow</v>
      </c>
      <c r="GV3" s="603" t="str">
        <f>$B49</f>
        <v>Flex-Fallow</v>
      </c>
      <c r="GW3" s="603" t="str">
        <f>$B50</f>
        <v>Spring Barley</v>
      </c>
      <c r="GX3" s="603" t="str">
        <f>$B51</f>
        <v>Roundup Ready Spring Canola</v>
      </c>
      <c r="GY3" s="603" t="str">
        <f>$B52</f>
        <v>Spring Canola</v>
      </c>
      <c r="GZ3" s="603" t="str">
        <f>$B53</f>
        <v>Spring Lentils</v>
      </c>
      <c r="HA3" s="603" t="str">
        <f>$B54</f>
        <v>SW Spring Wheat</v>
      </c>
      <c r="HB3" s="603" t="str">
        <f>$B55</f>
        <v>HR Winter Wheat</v>
      </c>
      <c r="HC3" s="603" t="str">
        <f>$B56</f>
        <v>Winter Pea</v>
      </c>
      <c r="HD3" s="603" t="str">
        <f>$B57</f>
        <v>Winter Canola</v>
      </c>
      <c r="HE3" s="604" t="str">
        <f>$B58</f>
        <v>Forage Crop-Soil Builder Blend</v>
      </c>
      <c r="HF3" s="603" t="str">
        <f>$B35</f>
        <v>SW Winter Wheat after Spring Legume</v>
      </c>
      <c r="HG3" s="603" t="str">
        <f>$B36</f>
        <v>SW Winter Wheat after Forage Crop</v>
      </c>
      <c r="HH3" s="603" t="str">
        <f>$B37</f>
        <v>DN Spring Wheat after Spring Legume</v>
      </c>
      <c r="HI3" s="603" t="str">
        <f>$B38</f>
        <v>DN Spring Wheat after Forage Crop</v>
      </c>
      <c r="HJ3" s="603" t="str">
        <f>$B39</f>
        <v>DN Spring Wheat after Winter Crop</v>
      </c>
      <c r="HK3" s="603" t="str">
        <f>$B40</f>
        <v>Chickpea after Forage Crop</v>
      </c>
      <c r="HL3" s="603" t="str">
        <f>$B41</f>
        <v>Chickpea after Cereal</v>
      </c>
      <c r="HM3" s="603" t="str">
        <f>$B42</f>
        <v>Spring Pea after Cereal</v>
      </c>
      <c r="HN3" s="603" t="str">
        <f>$B58</f>
        <v>Forage Crop-Soil Builder Blend</v>
      </c>
      <c r="HO3" s="603" t="str">
        <f>$B44</f>
        <v>Forage Crop-Genesee Area</v>
      </c>
      <c r="HP3" s="603" t="str">
        <f>$B45</f>
        <v>Livestock Grazing</v>
      </c>
      <c r="HQ3" s="603" t="str">
        <f>$B46</f>
        <v>SW Winter Wheat after Cereal</v>
      </c>
      <c r="HR3" s="603" t="str">
        <f>$B47</f>
        <v>SW Winter Wheat after Fallow</v>
      </c>
      <c r="HS3" s="603" t="str">
        <f>$B48</f>
        <v>Chem-Fallow</v>
      </c>
      <c r="HT3" s="603" t="str">
        <f>$B49</f>
        <v>Flex-Fallow</v>
      </c>
      <c r="HU3" s="603" t="str">
        <f>$B50</f>
        <v>Spring Barley</v>
      </c>
      <c r="HV3" s="603" t="str">
        <f>$B51</f>
        <v>Roundup Ready Spring Canola</v>
      </c>
      <c r="HW3" s="603" t="str">
        <f>$B52</f>
        <v>Spring Canola</v>
      </c>
      <c r="HX3" s="603" t="str">
        <f>$B53</f>
        <v>Spring Lentils</v>
      </c>
      <c r="HY3" s="603" t="str">
        <f>$B54</f>
        <v>SW Spring Wheat</v>
      </c>
      <c r="HZ3" s="603" t="str">
        <f>$B55</f>
        <v>HR Winter Wheat</v>
      </c>
      <c r="IA3" s="603" t="str">
        <f>$B56</f>
        <v>Winter Pea</v>
      </c>
      <c r="IB3" s="603" t="str">
        <f>$B57</f>
        <v>Winter Canola</v>
      </c>
      <c r="IC3" s="604" t="str">
        <f>$B58</f>
        <v>Forage Crop-Soil Builder Blend</v>
      </c>
      <c r="ID3" s="603" t="str">
        <f>$B35</f>
        <v>SW Winter Wheat after Spring Legume</v>
      </c>
      <c r="IE3" s="603" t="str">
        <f>$B36</f>
        <v>SW Winter Wheat after Forage Crop</v>
      </c>
      <c r="IF3" s="603" t="str">
        <f>$B37</f>
        <v>DN Spring Wheat after Spring Legume</v>
      </c>
      <c r="IG3" s="603" t="str">
        <f>$B38</f>
        <v>DN Spring Wheat after Forage Crop</v>
      </c>
      <c r="IH3" s="603" t="str">
        <f>$B39</f>
        <v>DN Spring Wheat after Winter Crop</v>
      </c>
      <c r="II3" s="603" t="str">
        <f>$B40</f>
        <v>Chickpea after Forage Crop</v>
      </c>
      <c r="IJ3" s="603" t="str">
        <f>$B41</f>
        <v>Chickpea after Cereal</v>
      </c>
      <c r="IK3" s="603" t="str">
        <f>$B42</f>
        <v>Spring Pea after Cereal</v>
      </c>
      <c r="IL3" s="603" t="str">
        <f>$B58</f>
        <v>Forage Crop-Soil Builder Blend</v>
      </c>
      <c r="IM3" s="603" t="str">
        <f>$B44</f>
        <v>Forage Crop-Genesee Area</v>
      </c>
      <c r="IN3" s="603" t="str">
        <f>$B45</f>
        <v>Livestock Grazing</v>
      </c>
      <c r="IO3" s="603" t="str">
        <f>$B46</f>
        <v>SW Winter Wheat after Cereal</v>
      </c>
      <c r="IP3" s="603" t="str">
        <f>$B47</f>
        <v>SW Winter Wheat after Fallow</v>
      </c>
      <c r="IQ3" s="603" t="str">
        <f>$B48</f>
        <v>Chem-Fallow</v>
      </c>
      <c r="IR3" s="603" t="str">
        <f>$B49</f>
        <v>Flex-Fallow</v>
      </c>
      <c r="IS3" s="603" t="str">
        <f>$B50</f>
        <v>Spring Barley</v>
      </c>
      <c r="IT3" s="603" t="str">
        <f>$B51</f>
        <v>Roundup Ready Spring Canola</v>
      </c>
      <c r="IU3" s="603" t="str">
        <f>$B52</f>
        <v>Spring Canola</v>
      </c>
      <c r="IV3" s="603" t="str">
        <f>$B53</f>
        <v>Spring Lentils</v>
      </c>
      <c r="IW3" s="603" t="str">
        <f>$B54</f>
        <v>SW Spring Wheat</v>
      </c>
      <c r="IX3" s="603" t="str">
        <f>$B55</f>
        <v>HR Winter Wheat</v>
      </c>
      <c r="IY3" s="603" t="str">
        <f>$B56</f>
        <v>Winter Pea</v>
      </c>
      <c r="IZ3" s="603" t="str">
        <f>$B57</f>
        <v>Winter Canola</v>
      </c>
      <c r="JA3" s="603" t="str">
        <f>$B58</f>
        <v>Forage Crop-Soil Builder Blend</v>
      </c>
      <c r="JB3" s="603" t="str">
        <f>$B35</f>
        <v>SW Winter Wheat after Spring Legume</v>
      </c>
      <c r="JC3" s="603" t="str">
        <f>$B36</f>
        <v>SW Winter Wheat after Forage Crop</v>
      </c>
      <c r="JD3" s="603" t="str">
        <f>$B37</f>
        <v>DN Spring Wheat after Spring Legume</v>
      </c>
      <c r="JE3" s="603" t="str">
        <f>$B38</f>
        <v>DN Spring Wheat after Forage Crop</v>
      </c>
      <c r="JF3" s="603" t="str">
        <f>$B39</f>
        <v>DN Spring Wheat after Winter Crop</v>
      </c>
      <c r="JG3" s="603" t="str">
        <f>$B40</f>
        <v>Chickpea after Forage Crop</v>
      </c>
      <c r="JH3" s="603" t="str">
        <f>$B41</f>
        <v>Chickpea after Cereal</v>
      </c>
      <c r="JI3" s="603" t="str">
        <f>$B42</f>
        <v>Spring Pea after Cereal</v>
      </c>
      <c r="JJ3" s="603" t="str">
        <f>$B58</f>
        <v>Forage Crop-Soil Builder Blend</v>
      </c>
      <c r="JK3" s="603" t="str">
        <f>$B44</f>
        <v>Forage Crop-Genesee Area</v>
      </c>
      <c r="JL3" s="603" t="str">
        <f>$B45</f>
        <v>Livestock Grazing</v>
      </c>
      <c r="JM3" s="603" t="str">
        <f>$B46</f>
        <v>SW Winter Wheat after Cereal</v>
      </c>
      <c r="JN3" s="603" t="str">
        <f>$B47</f>
        <v>SW Winter Wheat after Fallow</v>
      </c>
      <c r="JO3" s="603" t="str">
        <f>$B48</f>
        <v>Chem-Fallow</v>
      </c>
      <c r="JP3" s="603" t="str">
        <f>$B49</f>
        <v>Flex-Fallow</v>
      </c>
      <c r="JQ3" s="603" t="str">
        <f>$B50</f>
        <v>Spring Barley</v>
      </c>
      <c r="JR3" s="603" t="str">
        <f>$B51</f>
        <v>Roundup Ready Spring Canola</v>
      </c>
      <c r="JS3" s="603" t="str">
        <f>$B52</f>
        <v>Spring Canola</v>
      </c>
      <c r="JT3" s="603" t="str">
        <f>$B53</f>
        <v>Spring Lentils</v>
      </c>
      <c r="JU3" s="603" t="str">
        <f>$B54</f>
        <v>SW Spring Wheat</v>
      </c>
      <c r="JV3" s="603" t="str">
        <f>$B55</f>
        <v>HR Winter Wheat</v>
      </c>
      <c r="JW3" s="603" t="str">
        <f>$B56</f>
        <v>Winter Pea</v>
      </c>
      <c r="JX3" s="603" t="str">
        <f>$B57</f>
        <v>Winter Canola</v>
      </c>
      <c r="JY3" s="603" t="str">
        <f>$B58</f>
        <v>Forage Crop-Soil Builder Blend</v>
      </c>
      <c r="KA3" s="578"/>
      <c r="KB3" s="578"/>
    </row>
    <row r="4" spans="1:288" ht="20" customHeight="1">
      <c r="A4" s="3"/>
      <c r="B4" s="628"/>
      <c r="C4" s="630"/>
      <c r="D4" s="632"/>
      <c r="E4" s="630"/>
      <c r="F4" s="636"/>
      <c r="G4" s="634"/>
      <c r="H4" s="636"/>
      <c r="I4" s="638"/>
      <c r="J4" s="195"/>
      <c r="M4" s="249"/>
      <c r="N4" s="198" t="s">
        <v>134</v>
      </c>
      <c r="O4" s="199">
        <v>112500</v>
      </c>
      <c r="P4" s="199">
        <f>SUM('Farm and Rotation Setup'!CP5:DM9)</f>
        <v>160000</v>
      </c>
      <c r="Q4" s="197">
        <f t="shared" si="0"/>
        <v>0.42222222222222222</v>
      </c>
      <c r="R4" s="249"/>
      <c r="S4" s="249"/>
      <c r="T4" s="19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4"/>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4"/>
      <c r="BR4" s="603"/>
      <c r="BS4" s="603"/>
      <c r="BT4" s="603"/>
      <c r="BU4" s="603"/>
      <c r="BV4" s="603"/>
      <c r="BW4" s="603"/>
      <c r="BX4" s="603"/>
      <c r="BY4" s="603"/>
      <c r="BZ4" s="603"/>
      <c r="CA4" s="603"/>
      <c r="CB4" s="603"/>
      <c r="CC4" s="603"/>
      <c r="CD4" s="603"/>
      <c r="CE4" s="603"/>
      <c r="CF4" s="603"/>
      <c r="CG4" s="603"/>
      <c r="CH4" s="603"/>
      <c r="CI4" s="603"/>
      <c r="CJ4" s="603"/>
      <c r="CK4" s="603"/>
      <c r="CL4" s="603"/>
      <c r="CM4" s="603"/>
      <c r="CN4" s="603"/>
      <c r="CO4" s="604"/>
      <c r="CP4" s="603"/>
      <c r="CQ4" s="603"/>
      <c r="CR4" s="603"/>
      <c r="CS4" s="603"/>
      <c r="CT4" s="603"/>
      <c r="CU4" s="603"/>
      <c r="CV4" s="603"/>
      <c r="CW4" s="603"/>
      <c r="CX4" s="603"/>
      <c r="CY4" s="603"/>
      <c r="CZ4" s="603"/>
      <c r="DA4" s="603"/>
      <c r="DB4" s="603"/>
      <c r="DC4" s="603"/>
      <c r="DD4" s="603"/>
      <c r="DE4" s="603"/>
      <c r="DF4" s="603"/>
      <c r="DG4" s="603"/>
      <c r="DH4" s="603"/>
      <c r="DI4" s="603"/>
      <c r="DJ4" s="603"/>
      <c r="DK4" s="603"/>
      <c r="DL4" s="603"/>
      <c r="DM4" s="604"/>
      <c r="DN4" s="603"/>
      <c r="DO4" s="603"/>
      <c r="DP4" s="603"/>
      <c r="DQ4" s="603"/>
      <c r="DR4" s="603"/>
      <c r="DS4" s="603"/>
      <c r="DT4" s="603"/>
      <c r="DU4" s="603"/>
      <c r="DV4" s="603"/>
      <c r="DW4" s="603"/>
      <c r="DX4" s="603"/>
      <c r="DY4" s="603"/>
      <c r="DZ4" s="603"/>
      <c r="EA4" s="603"/>
      <c r="EB4" s="603"/>
      <c r="EC4" s="603"/>
      <c r="ED4" s="603"/>
      <c r="EE4" s="603"/>
      <c r="EF4" s="603"/>
      <c r="EG4" s="603"/>
      <c r="EH4" s="603"/>
      <c r="EI4" s="603"/>
      <c r="EJ4" s="603"/>
      <c r="EK4" s="604"/>
      <c r="EL4" s="603"/>
      <c r="EM4" s="603"/>
      <c r="EN4" s="603"/>
      <c r="EO4" s="603"/>
      <c r="EP4" s="603"/>
      <c r="EQ4" s="603"/>
      <c r="ER4" s="603"/>
      <c r="ES4" s="603"/>
      <c r="ET4" s="603"/>
      <c r="EU4" s="603"/>
      <c r="EV4" s="603"/>
      <c r="EW4" s="603"/>
      <c r="EX4" s="603"/>
      <c r="EY4" s="603"/>
      <c r="EZ4" s="603"/>
      <c r="FA4" s="603"/>
      <c r="FB4" s="603"/>
      <c r="FC4" s="603"/>
      <c r="FD4" s="603"/>
      <c r="FE4" s="603"/>
      <c r="FF4" s="603"/>
      <c r="FG4" s="603"/>
      <c r="FH4" s="603"/>
      <c r="FI4" s="604"/>
      <c r="FJ4" s="603"/>
      <c r="FK4" s="603"/>
      <c r="FL4" s="603"/>
      <c r="FM4" s="603"/>
      <c r="FN4" s="603"/>
      <c r="FO4" s="603"/>
      <c r="FP4" s="603"/>
      <c r="FQ4" s="603"/>
      <c r="FR4" s="603"/>
      <c r="FS4" s="603"/>
      <c r="FT4" s="603"/>
      <c r="FU4" s="603"/>
      <c r="FV4" s="603"/>
      <c r="FW4" s="603"/>
      <c r="FX4" s="603"/>
      <c r="FY4" s="603"/>
      <c r="FZ4" s="603"/>
      <c r="GA4" s="603"/>
      <c r="GB4" s="603"/>
      <c r="GC4" s="603"/>
      <c r="GD4" s="603"/>
      <c r="GE4" s="603"/>
      <c r="GF4" s="603"/>
      <c r="GG4" s="604"/>
      <c r="GH4" s="603"/>
      <c r="GI4" s="603"/>
      <c r="GJ4" s="603"/>
      <c r="GK4" s="603"/>
      <c r="GL4" s="603"/>
      <c r="GM4" s="603"/>
      <c r="GN4" s="603"/>
      <c r="GO4" s="603"/>
      <c r="GP4" s="603"/>
      <c r="GQ4" s="603"/>
      <c r="GR4" s="603"/>
      <c r="GS4" s="603"/>
      <c r="GT4" s="603"/>
      <c r="GU4" s="603"/>
      <c r="GV4" s="603"/>
      <c r="GW4" s="603"/>
      <c r="GX4" s="603"/>
      <c r="GY4" s="603"/>
      <c r="GZ4" s="603"/>
      <c r="HA4" s="603"/>
      <c r="HB4" s="603"/>
      <c r="HC4" s="603"/>
      <c r="HD4" s="603"/>
      <c r="HE4" s="604"/>
      <c r="HF4" s="603"/>
      <c r="HG4" s="603"/>
      <c r="HH4" s="603"/>
      <c r="HI4" s="603"/>
      <c r="HJ4" s="603"/>
      <c r="HK4" s="603"/>
      <c r="HL4" s="603"/>
      <c r="HM4" s="603"/>
      <c r="HN4" s="603"/>
      <c r="HO4" s="603"/>
      <c r="HP4" s="603"/>
      <c r="HQ4" s="603"/>
      <c r="HR4" s="603"/>
      <c r="HS4" s="603"/>
      <c r="HT4" s="603"/>
      <c r="HU4" s="603"/>
      <c r="HV4" s="603"/>
      <c r="HW4" s="603"/>
      <c r="HX4" s="603"/>
      <c r="HY4" s="603"/>
      <c r="HZ4" s="603"/>
      <c r="IA4" s="603"/>
      <c r="IB4" s="603"/>
      <c r="IC4" s="604"/>
      <c r="ID4" s="603"/>
      <c r="IE4" s="603"/>
      <c r="IF4" s="603"/>
      <c r="IG4" s="603"/>
      <c r="IH4" s="603"/>
      <c r="II4" s="603"/>
      <c r="IJ4" s="603"/>
      <c r="IK4" s="603"/>
      <c r="IL4" s="603"/>
      <c r="IM4" s="603"/>
      <c r="IN4" s="603"/>
      <c r="IO4" s="603"/>
      <c r="IP4" s="603"/>
      <c r="IQ4" s="603"/>
      <c r="IR4" s="603"/>
      <c r="IS4" s="603"/>
      <c r="IT4" s="603"/>
      <c r="IU4" s="603"/>
      <c r="IV4" s="603"/>
      <c r="IW4" s="603"/>
      <c r="IX4" s="603"/>
      <c r="IY4" s="603"/>
      <c r="IZ4" s="603"/>
      <c r="JA4" s="603"/>
      <c r="JB4" s="603"/>
      <c r="JC4" s="603"/>
      <c r="JD4" s="603"/>
      <c r="JE4" s="603"/>
      <c r="JF4" s="603"/>
      <c r="JG4" s="603"/>
      <c r="JH4" s="603"/>
      <c r="JI4" s="603"/>
      <c r="JJ4" s="603"/>
      <c r="JK4" s="603"/>
      <c r="JL4" s="603"/>
      <c r="JM4" s="603"/>
      <c r="JN4" s="603"/>
      <c r="JO4" s="603"/>
      <c r="JP4" s="603"/>
      <c r="JQ4" s="603"/>
      <c r="JR4" s="603"/>
      <c r="JS4" s="603"/>
      <c r="JT4" s="603"/>
      <c r="JU4" s="603"/>
      <c r="JV4" s="603"/>
      <c r="JW4" s="603"/>
      <c r="JX4" s="603"/>
      <c r="JY4" s="603"/>
      <c r="KA4" s="578"/>
      <c r="KB4" s="578"/>
    </row>
    <row r="5" spans="1:288" ht="20" customHeight="1">
      <c r="A5" s="3"/>
      <c r="B5" s="620" t="s">
        <v>141</v>
      </c>
      <c r="C5" s="43">
        <v>1</v>
      </c>
      <c r="D5" s="135" t="s">
        <v>373</v>
      </c>
      <c r="E5" s="136">
        <v>0.4</v>
      </c>
      <c r="F5" s="303">
        <f>IF(D5="Livestock Grazing",0,E5)</f>
        <v>0.4</v>
      </c>
      <c r="G5" s="148">
        <f>IF(D5="Livestock Grazing",0,$I$2*E5)</f>
        <v>1000</v>
      </c>
      <c r="H5" s="306">
        <f>$I$2*E5</f>
        <v>1000</v>
      </c>
      <c r="I5" s="140">
        <f>SUM(AT5:BQ5)</f>
        <v>790.41026552666824</v>
      </c>
      <c r="J5" s="140"/>
      <c r="M5" s="250"/>
      <c r="N5" s="5" t="s">
        <v>127</v>
      </c>
      <c r="O5" s="200">
        <v>103.90625</v>
      </c>
      <c r="P5" s="200">
        <f>SUM('Farm and Rotation Setup'!HF5:IC9)</f>
        <v>140.12656250000001</v>
      </c>
      <c r="Q5" s="197">
        <f t="shared" si="0"/>
        <v>0.34858646616541361</v>
      </c>
      <c r="R5" s="250"/>
      <c r="S5" s="250"/>
      <c r="T5" s="140"/>
      <c r="V5" s="1">
        <f>IF($D5="SW Winter Wheat after Spring Legume",$H5,0)</f>
        <v>1000</v>
      </c>
      <c r="W5" s="1">
        <f>IF($D5="SW Winter Wheat after Forage Crop",$H5,0)</f>
        <v>0</v>
      </c>
      <c r="X5" s="1">
        <f>IF($D5="DN Spring Wheat after Spring Legume",$H5,0)</f>
        <v>0</v>
      </c>
      <c r="Y5" s="1">
        <f>IF($D5="DN Spring Wheat after Forage Crop",$H5,0)</f>
        <v>0</v>
      </c>
      <c r="Z5" s="1">
        <f>IF($D5="DN Spring Wheat after Winter Crop",$H5,0)</f>
        <v>0</v>
      </c>
      <c r="AA5" s="1">
        <f>IF($D5="Chickpea after Forage Crop",$H5,0)</f>
        <v>0</v>
      </c>
      <c r="AB5" s="1">
        <f>IF($D5="Chickpea after Cereal",$H5,0)</f>
        <v>0</v>
      </c>
      <c r="AC5" s="1">
        <f>IF($D5="Spring Pea after Cereal",$H5,0)</f>
        <v>0</v>
      </c>
      <c r="AD5" s="1">
        <f>IF($D5="Forage Crop-St. John Area",$H5,0)</f>
        <v>0</v>
      </c>
      <c r="AE5" s="1">
        <f>IF($D5="Forage Crop-Genesee Area",$H5,0)</f>
        <v>0</v>
      </c>
      <c r="AF5" s="1">
        <f>IF($D5="Livestock Grazing",$H5,0)</f>
        <v>0</v>
      </c>
      <c r="AG5" s="1">
        <f>IF($D5="SW Winter Wheat after Cereal",$H5,0)</f>
        <v>0</v>
      </c>
      <c r="AH5" s="1">
        <f>IF($D5="SW Winter Wheat after Fallow",$H5,0)</f>
        <v>0</v>
      </c>
      <c r="AI5" s="1">
        <f>IF($D5="Chem-Fallow",$H5,0)</f>
        <v>0</v>
      </c>
      <c r="AJ5" s="1">
        <f>IF($D5="Flex-Fallow",$H5,0)</f>
        <v>0</v>
      </c>
      <c r="AK5" s="1">
        <f>IF($D5="Spring Barley",$H5,0)</f>
        <v>0</v>
      </c>
      <c r="AL5" s="1">
        <f>IF($D5="Roundup Ready Spring Canola",$H5,0)</f>
        <v>0</v>
      </c>
      <c r="AM5" s="1">
        <f>IF($D5="Spring Canola",$H5,0)</f>
        <v>0</v>
      </c>
      <c r="AN5" s="1">
        <f>IF($D5="Spring Lentils",$H5,0)</f>
        <v>0</v>
      </c>
      <c r="AO5" s="1">
        <f>IF($D5="SW Spring Wheat",$H5,0)</f>
        <v>0</v>
      </c>
      <c r="AP5" s="1">
        <f>IF($D5="HR Winter Wheat",$H5,0)</f>
        <v>0</v>
      </c>
      <c r="AQ5" s="1">
        <f>IF($D5="Winter Pea",$H5,0)</f>
        <v>0</v>
      </c>
      <c r="AR5" s="1">
        <f>IF($D5="Winter Canola",$H5,0)</f>
        <v>0</v>
      </c>
      <c r="AS5" s="322">
        <f>IF($D5="Forage Crop-Soil Builder Blend",$H5,0)</f>
        <v>0</v>
      </c>
      <c r="AT5" s="1">
        <f>IF($D5="SW Winter Wheat after Spring Legume",SWWinterWheatAfterSpringLegume!$F$138,0)</f>
        <v>790.41026552666824</v>
      </c>
      <c r="AU5" s="1">
        <f>IF($D5="SW Winter Wheat after Forage Crop",SWWinterWheatAfterForageCrop!$F$138,0)</f>
        <v>0</v>
      </c>
      <c r="AV5" s="1">
        <f>IF($D5="DN Spring Wheat after Spring Legume",DNSpringWinterAfterSpringLegume!$F$138,0)</f>
        <v>0</v>
      </c>
      <c r="AW5" s="1">
        <f>IF($D5="DN Spring Wheat after Forage Crop",DNSpringWheatAfterForageCrop!$F$138,0)</f>
        <v>0</v>
      </c>
      <c r="AX5" s="1">
        <f>IF($D5="DN Spring Wheat after Winter Crop",DNSpringWheatAfterWinterCrop!$F$138,0)</f>
        <v>0</v>
      </c>
      <c r="AY5" s="1">
        <f>IF($D5="Chickpea after Forage Crop",ChickpeaAfterForageCrop!$F$138,0)</f>
        <v>0</v>
      </c>
      <c r="AZ5" s="1">
        <f>IF($D5="Chickpea after Cereal",ChickpeaAfterCereal!$F$138,0)</f>
        <v>0</v>
      </c>
      <c r="BA5" s="1">
        <f>IF($D5="Spring Pea after Cereal",SpringPeaAfterCereal!$F$138,0)</f>
        <v>0</v>
      </c>
      <c r="BB5" s="1">
        <f>IF($D5="Forage Crop-St. John Area",'ForageCrop-StJohn'!$F$138,0)</f>
        <v>0</v>
      </c>
      <c r="BC5" s="1">
        <f>IF($D5="Forage Crop-Genesee Area",'ForageCrop-Genesee'!$F$138,0)</f>
        <v>0</v>
      </c>
      <c r="BD5" s="1">
        <f>IF($D5="Livestock Grazing",LivestockGrazing!$F$138,0)</f>
        <v>0</v>
      </c>
      <c r="BE5" s="1">
        <f>IF($D5="SW Winter Wheat after Cereal",SWWinterWheatafterCereal!$F$138,0)</f>
        <v>0</v>
      </c>
      <c r="BF5" s="1">
        <f>IF($D5="SW Winter Wheat after Fallow",SWWinterWheatAfterFallow!$F$138,0)</f>
        <v>0</v>
      </c>
      <c r="BG5" s="1">
        <f>IF($D5="Chem-Fallow",'Chem-Fallow'!$F$138,0)</f>
        <v>0</v>
      </c>
      <c r="BH5" s="1">
        <f>IF($D5="Flex-Fallow",'Flex-Fallow'!$F$138,0)</f>
        <v>0</v>
      </c>
      <c r="BI5" s="1">
        <f>IF($D5="Spring Barley",SpringBarley!$F$138,0)</f>
        <v>0</v>
      </c>
      <c r="BJ5" s="1">
        <f>IF($D5="Roundup Ready Spring Canola",'SpringCanola_R-Ready'!$F$138,0)</f>
        <v>0</v>
      </c>
      <c r="BK5" s="1">
        <f>IF($D5="Spring Canola",SpringCanola!$F$138,0)</f>
        <v>0</v>
      </c>
      <c r="BL5" s="1">
        <f>IF($D5="Spring Lentils",SpringLentils!$F$138,0)</f>
        <v>0</v>
      </c>
      <c r="BM5" s="1">
        <f>IF($D5="SW Spring Wheat",SWSpringWheat!$F$138,0)</f>
        <v>0</v>
      </c>
      <c r="BN5" s="1">
        <f>IF($D5="HR Winter Wheat",HRWinterWheat!$F$138,0)</f>
        <v>0</v>
      </c>
      <c r="BO5" s="1">
        <f>IF($D5="Winter Pea",WinterPea!$F$138,0)</f>
        <v>0</v>
      </c>
      <c r="BP5" s="1">
        <f>IF($D5="Winter Canola",WinterCanola!$F$138,0)</f>
        <v>0</v>
      </c>
      <c r="BQ5" s="322">
        <f>IF($D5="Forage Crop-Soil Builder Blend",ForageCrop!$F$138,0)</f>
        <v>0</v>
      </c>
      <c r="BR5" s="1">
        <f>IF($D5="SW Winter Wheat after Spring Legume",H5*SWWinterWheatAfterSpringLegume!$F$138,0)</f>
        <v>790410.26552666829</v>
      </c>
      <c r="BS5" s="1">
        <f>IF($D5="SW Winter Wheat after Forage Crop",H5*SWWinterWheatAfterForageCrop!$F$138,0)</f>
        <v>0</v>
      </c>
      <c r="BT5" s="1">
        <f>IF($D5="DN Spring Wheat after Spring Legume",H5*DNSpringWinterAfterSpringLegume!$F$138,0)</f>
        <v>0</v>
      </c>
      <c r="BU5" s="1">
        <f>IF($D5="DN Spring Wheat after Forage Crop",H5*DNSpringWheatAfterForageCrop!$F$138,0)</f>
        <v>0</v>
      </c>
      <c r="BV5" s="1">
        <f>IF($D5="DN Spring Wheat after Winter Crop",H5*DNSpringWheatAfterWinterCrop!$F$138,0)</f>
        <v>0</v>
      </c>
      <c r="BW5" s="1">
        <f>IF($D5="Chickpea after Forage Crop",H5*ChickpeaAfterForageCrop!$F$138,0)</f>
        <v>0</v>
      </c>
      <c r="BX5" s="1">
        <f>IF($D5="Chickpea after Cereal",H5*ChickpeaAfterCereal!$F$138,0)</f>
        <v>0</v>
      </c>
      <c r="BY5" s="1">
        <f>IF($D5="Spring Pea after Cereal",H5*SpringPeaAfterCereal!$F$138,0)</f>
        <v>0</v>
      </c>
      <c r="BZ5" s="1">
        <f>IF($D5="Forage Crop-St. John Area",H5*'ForageCrop-StJohn'!$F$138,0)</f>
        <v>0</v>
      </c>
      <c r="CA5" s="1">
        <f>IF($D5="Forage Crop-Genesee Area",H5*'ForageCrop-Genesee'!$F$138,0)</f>
        <v>0</v>
      </c>
      <c r="CB5" s="1">
        <f>IF($D5="Livestock Grazing",H5*LivestockGrazing!$F$138,0)</f>
        <v>0</v>
      </c>
      <c r="CC5" s="1">
        <f>IF($D5="SW Winter Wheat after Cereal",H5*SWWinterWheatafterCereal!$F$138,0)</f>
        <v>0</v>
      </c>
      <c r="CD5" s="1">
        <f>IF($D5="SW Winter Wheat after Fallow",H5*SWWinterWheatAfterFallow!$F$138,0)</f>
        <v>0</v>
      </c>
      <c r="CE5" s="1">
        <f>IF($D5="Chem-Fallow",H5*'Chem-Fallow'!$F$138,0)</f>
        <v>0</v>
      </c>
      <c r="CF5" s="1">
        <f>IF($D5="Flex-Fallow",H5*'Flex-Fallow'!$F$138,0)</f>
        <v>0</v>
      </c>
      <c r="CG5" s="1">
        <f>IF($D5="Spring Barley",H5*SpringBarley!$F$138,0)</f>
        <v>0</v>
      </c>
      <c r="CH5" s="1">
        <f>IF($D5="Roundup Ready Spring Canola",H5*'SpringCanola_R-Ready'!$F$138,0)</f>
        <v>0</v>
      </c>
      <c r="CI5" s="1">
        <f>IF($D5="Spring Canola",H5*SpringCanola!$F$138,0)</f>
        <v>0</v>
      </c>
      <c r="CJ5" s="1">
        <f>IF($D5="Spring Lentils",H5*SpringLentils!$F$138,0)</f>
        <v>0</v>
      </c>
      <c r="CK5" s="1">
        <f>IF($D5="SW Spring Wheat",H5*SWSpringWheat!$F$138,0)</f>
        <v>0</v>
      </c>
      <c r="CL5" s="1">
        <f>IF($D5="HR Winter Wheat",H5*HRWinterWheat!$F$138,0)</f>
        <v>0</v>
      </c>
      <c r="CM5" s="1">
        <f>IF($D5="Winter Pea",H5*WinterPea!$F$138,0)</f>
        <v>0</v>
      </c>
      <c r="CN5" s="1">
        <f>IF($D5="Winter Canola",H5*WinterCanola!$F$138,0)</f>
        <v>0</v>
      </c>
      <c r="CO5" s="322">
        <f>IF($D5="Forage Crop-Soil Builder Blend",H5*ForageCrop!$F$138,0)</f>
        <v>0</v>
      </c>
      <c r="CP5" s="1">
        <f>IF($D5="SW Winter Wheat after Spring Legume",H5*'Prices_Yields&amp;SeedInputs'!J$5,0)</f>
        <v>90000</v>
      </c>
      <c r="CQ5" s="1">
        <f>IF($D5="SW Winter Wheat after Forage Crop",H5*'Prices_Yields&amp;SeedInputs'!J$6,0)</f>
        <v>0</v>
      </c>
      <c r="CR5" s="1">
        <f>IF($D5="DN Spring Wheat after Spring Legume",H5*'Prices_Yields&amp;SeedInputs'!J$7,0)</f>
        <v>0</v>
      </c>
      <c r="CS5" s="1">
        <f>IF($D5="DN Spring Wheat after Forage Crop",H5*'Prices_Yields&amp;SeedInputs'!J$8,0)</f>
        <v>0</v>
      </c>
      <c r="CT5" s="1">
        <f>IF($D5="DN Spring Wheat after Winter Crop",H5*'Prices_Yields&amp;SeedInputs'!J$9,0)</f>
        <v>0</v>
      </c>
      <c r="CU5" s="1">
        <f>IF($D5="Chickpea after Forage Crop",H5*'Prices_Yields&amp;SeedInputs'!J$10,0)</f>
        <v>0</v>
      </c>
      <c r="CV5" s="1">
        <f>IF($D5="Chickpea after Cereal",H5*'Prices_Yields&amp;SeedInputs'!J$11,0)</f>
        <v>0</v>
      </c>
      <c r="CW5" s="1">
        <f>IF($D5="Spring Pea after Cereal",H5*'Prices_Yields&amp;SeedInputs'!J$12,0)</f>
        <v>0</v>
      </c>
      <c r="CX5" s="1">
        <f>IF($D5="Forage Crop-St. John Area",H5*'Prices_Yields&amp;SeedInputs'!J$13,0)</f>
        <v>0</v>
      </c>
      <c r="CY5" s="1">
        <f>IF($D5="Forage Crop-Genesee Area",H5*'Prices_Yields&amp;SeedInputs'!J$14,0)</f>
        <v>0</v>
      </c>
      <c r="CZ5" s="1">
        <f>IF($D5="Livestock Grazing",H5*'Prices_Yields&amp;SeedInputs'!J$15,0)</f>
        <v>0</v>
      </c>
      <c r="DA5" s="1">
        <f>IF($D5="SW Winter Wheat after Cereal",H5*'Prices_Yields&amp;SeedInputs'!J$16,0)</f>
        <v>0</v>
      </c>
      <c r="DB5" s="1">
        <f>IF($D5="SW Winter Wheat after Fallow",H5*'Prices_Yields&amp;SeedInputs'!J$17,0)</f>
        <v>0</v>
      </c>
      <c r="DC5" s="1">
        <f>IF($D5="Chem-Fallow",H5*'Prices_Yields&amp;SeedInputs'!J$18,0)</f>
        <v>0</v>
      </c>
      <c r="DD5" s="1">
        <f>IF($D5="Flex-Fallow",H5*'Prices_Yields&amp;SeedInputs'!J$19,0)</f>
        <v>0</v>
      </c>
      <c r="DE5" s="1">
        <f>IF($D5="Spring Barley",H5*'Prices_Yields&amp;SeedInputs'!J$20,0)</f>
        <v>0</v>
      </c>
      <c r="DF5" s="1">
        <f>IF($D5="Roundup Ready Spring Canola",H5*'Prices_Yields&amp;SeedInputs'!J$21,0)</f>
        <v>0</v>
      </c>
      <c r="DG5" s="1">
        <f>IF($D5="Spring Canola",H5*'Prices_Yields&amp;SeedInputs'!J$22,0)</f>
        <v>0</v>
      </c>
      <c r="DH5" s="1">
        <f>IF($D5="Spring Lentils",H5*'Prices_Yields&amp;SeedInputs'!J$23,0)</f>
        <v>0</v>
      </c>
      <c r="DI5" s="1">
        <f>IF($D5="SW Spring Wheat",H5*'Prices_Yields&amp;SeedInputs'!J$24,0)</f>
        <v>0</v>
      </c>
      <c r="DJ5" s="1">
        <f>IF($D5="HR Winter Wheat",H5*'Prices_Yields&amp;SeedInputs'!J$25,0)</f>
        <v>0</v>
      </c>
      <c r="DK5" s="1">
        <f>IF($D5="Winter Pea",H5*'Prices_Yields&amp;SeedInputs'!J$26,0)</f>
        <v>0</v>
      </c>
      <c r="DL5" s="1">
        <f>IF($D5="Winter Canola",H5*'Prices_Yields&amp;SeedInputs'!J$27,0)</f>
        <v>0</v>
      </c>
      <c r="DM5" s="322">
        <f>IF($D5="Forage Crop-Soil Builder Blend",H5*'Prices_Yields&amp;SeedInputs'!J$28,0)</f>
        <v>0</v>
      </c>
      <c r="DN5" s="1">
        <f>IF($D5="SW Winter Wheat after Spring Legume",$H5*SWWinterWheatAfterSpringLegume!$F$135,0)</f>
        <v>24041.109476470603</v>
      </c>
      <c r="DO5" s="1">
        <f>IF($D5="SW Winter Wheat after Forage Crop",$H5*SWWinterWheatAfterForageCrop!$F$135,0)</f>
        <v>0</v>
      </c>
      <c r="DP5" s="1">
        <f>IF($D5="DN Spring Wheat after Spring Legume",$H5*DNSpringWinterAfterSpringLegume!$F$135,0)</f>
        <v>0</v>
      </c>
      <c r="DQ5" s="1">
        <f>IF($D5="DN Spring Wheat after Forage Crop",$H5*DNSpringWheatAfterForageCrop!$F$135,0)</f>
        <v>0</v>
      </c>
      <c r="DR5" s="1">
        <f>IF($D5="DN Spring Wheat after Winter Crop",$H5*DNSpringWheatAfterWinterCrop!$F$135,0)</f>
        <v>0</v>
      </c>
      <c r="DS5" s="1">
        <f>IF($D5="Chickpea after Forage Crop",$H5*ChickpeaAfterForageCrop!$F$135,0)</f>
        <v>0</v>
      </c>
      <c r="DT5" s="1">
        <f>IF($D5="Chickpea after Cereal",$H5*ChickpeaAfterCereal!$F$135,0)</f>
        <v>0</v>
      </c>
      <c r="DU5" s="1">
        <f>IF($D5="Spring Pea after Cereal",$H5*SpringPeaAfterCereal!$F$135,0)</f>
        <v>0</v>
      </c>
      <c r="DV5" s="1">
        <f>IF($D5="Forage Crop-St. John Area",$H5*'ForageCrop-StJohn'!$F$135,0)</f>
        <v>0</v>
      </c>
      <c r="DW5" s="1">
        <f>IF($D5="Forage Crop-Genesee Area",$H5*'ForageCrop-Genesee'!$F$135,0)</f>
        <v>0</v>
      </c>
      <c r="DX5" s="1">
        <f>IF($D5="Livestock Grazing",$H5*LivestockGrazing!$F$135,0)</f>
        <v>0</v>
      </c>
      <c r="DY5" s="1">
        <f>IF($D5="SW Winter Wheat after Cereal",$H5*SWWinterWheatafterCereal!$F$135,0)</f>
        <v>0</v>
      </c>
      <c r="DZ5" s="1">
        <f>IF($D5="SW Winter Wheat after Fallow",$H5*SWWinterWheatAfterFallow!$F$135,0)</f>
        <v>0</v>
      </c>
      <c r="EA5" s="1">
        <f>IF($D5="Chem-Fallow",$H5*'Chem-Fallow'!$F$135,0)</f>
        <v>0</v>
      </c>
      <c r="EB5" s="1">
        <f>IF($D5="Flex-Fallow",$H5*'Flex-Fallow'!$F$135,0)</f>
        <v>0</v>
      </c>
      <c r="EC5" s="1">
        <f>IF($D5="Spring Barley",$H5*SpringBarley!$F$135,0)</f>
        <v>0</v>
      </c>
      <c r="ED5" s="1">
        <f>IF($D5="Roundup Ready Spring Canola",$H5*'SpringCanola_R-Ready'!$F$135,0)</f>
        <v>0</v>
      </c>
      <c r="EE5" s="1">
        <f>IF($D5="Spring Canola",$H5*SpringCanola!$F$135,0)</f>
        <v>0</v>
      </c>
      <c r="EF5" s="1">
        <f>IF($D5="Spring Lentils",$H5*SpringLentils!$F$135,0)</f>
        <v>0</v>
      </c>
      <c r="EG5" s="1">
        <f>IF($D5="SW Spring Wheat",$H5*SWSpringWheat!$F$135,0)</f>
        <v>0</v>
      </c>
      <c r="EH5" s="1">
        <f>IF($D5="HR Winter Wheat",$H5*HRWinterWheat!$F$135,0)</f>
        <v>0</v>
      </c>
      <c r="EI5" s="1">
        <f>IF($D5="Winter Pea",$H5*WinterPea!$F$135,0)</f>
        <v>0</v>
      </c>
      <c r="EJ5" s="1">
        <f>IF($D5="Winter Canola",$H5*WinterCanola!$F$135,0)</f>
        <v>0</v>
      </c>
      <c r="EK5" s="322">
        <f>IF($D5="Forage Crop-Soil Builder Blend",$H5*ForageCrop!$F$135,0)</f>
        <v>0</v>
      </c>
      <c r="EL5" s="1">
        <f>IF($D5="SW Winter Wheat after Spring Legume",$H5*SWWinterWheatAfterSpringLegume!$J$116,0)</f>
        <v>16129.930432071913</v>
      </c>
      <c r="EM5" s="1">
        <f>IF($D5="SW Winter Wheat after Forage Crop",$H5*SWWinterWheatAfterForageCrop!$J$116,0)</f>
        <v>0</v>
      </c>
      <c r="EN5" s="1">
        <f>IF($D5="DN Spring Wheat after Spring Legume",$H5*DNSpringWinterAfterSpringLegume!$J$116,0)</f>
        <v>0</v>
      </c>
      <c r="EO5" s="1">
        <f>IF($D5="DN Spring Wheat after Forage Crop",$H5*DNSpringWheatAfterForageCrop!$J$116,0)</f>
        <v>0</v>
      </c>
      <c r="EP5" s="1">
        <f>IF($D5="DN Spring Wheat after Winter Crop",$H5*DNSpringWheatAfterWinterCrop!$J$116,0)</f>
        <v>0</v>
      </c>
      <c r="EQ5" s="1">
        <f>IF($D5="Chickpea after Forage Crop",$H5*ChickpeaAfterForageCrop!$J$116,0)</f>
        <v>0</v>
      </c>
      <c r="ER5" s="1">
        <f>IF($D5="Chickpea after Cereal",$H5*ChickpeaAfterCereal!$J$116,0)</f>
        <v>0</v>
      </c>
      <c r="ES5" s="1">
        <f>IF($D5="Spring Pea after Cereal",$H5*SpringPeaAfterCereal!$J$116,0)</f>
        <v>0</v>
      </c>
      <c r="ET5" s="1">
        <f>IF($D5="Forage Crop-St. John Area",$H5*'ForageCrop-StJohn'!$J$116,0)</f>
        <v>0</v>
      </c>
      <c r="EU5" s="1">
        <f>IF($D5="Forage Crop-Genesee Area",$H5*'ForageCrop-Genesee'!$J$116,0)</f>
        <v>0</v>
      </c>
      <c r="EV5" s="1">
        <f>IF($D5="Livestock Grazing",$H5*LivestockGrazing!$J$116,0)</f>
        <v>0</v>
      </c>
      <c r="EW5" s="1">
        <f>IF($D5="SW Winter Wheat after Cereal",$H5*SWWinterWheatafterCereal!$J$116,0)</f>
        <v>0</v>
      </c>
      <c r="EX5" s="1">
        <f>IF($D5="SW Winter Wheat after Fallow",$H5*SWWinterWheatAfterFallow!$J$116,0)</f>
        <v>0</v>
      </c>
      <c r="EY5" s="1">
        <f>IF($D5="Chem-Fallow",$H5*'Chem-Fallow'!$J$116,0)</f>
        <v>0</v>
      </c>
      <c r="EZ5" s="1">
        <f>IF($D5="Flex-Fallow",$H5*'Flex-Fallow'!$J$116,0)</f>
        <v>0</v>
      </c>
      <c r="FA5" s="1">
        <f>IF($D5="Spring Barley",$H5*SpringBarley!$J$116,0)</f>
        <v>0</v>
      </c>
      <c r="FB5" s="1">
        <f>IF($D5="Roundup Ready Spring Canola",$H5*'SpringCanola_R-Ready'!$J$116,0)</f>
        <v>0</v>
      </c>
      <c r="FC5" s="1">
        <f>IF($D5="Spring Canola",$H5*SpringCanola!$J$116,0)</f>
        <v>0</v>
      </c>
      <c r="FD5" s="1">
        <f>IF($D5="Spring Lentils",$H5*SpringLentils!$J$116,0)</f>
        <v>0</v>
      </c>
      <c r="FE5" s="1">
        <f>IF($D5="SW Spring Wheat",$H5*SWSpringWheat!$J$116,0)</f>
        <v>0</v>
      </c>
      <c r="FF5" s="1">
        <f>IF($D5="HR Winter Wheat",$H5*HRWinterWheat!$J$116,0)</f>
        <v>0</v>
      </c>
      <c r="FG5" s="1">
        <f>IF($D5="Winter Pea",$H5*WinterPea!$J$116,0)</f>
        <v>0</v>
      </c>
      <c r="FH5" s="1">
        <f>IF($D5="Winter Canola",$H5*WinterCanola!$J$116,0)</f>
        <v>0</v>
      </c>
      <c r="FI5" s="322">
        <f>IF($D5="Forage Crop-Soil Builder Blend",$H5*ForageCrop!$J$116,0)</f>
        <v>0</v>
      </c>
      <c r="FJ5" s="1">
        <f>IF($D5="SW Winter Wheat after Spring Legume",$H5*SWWinterWheatAfterSpringLegume!$J$117,0)</f>
        <v>37921.401983080374</v>
      </c>
      <c r="FK5" s="1">
        <f>IF($D5="SW Winter Wheat after Forage Crop",$H5*SWWinterWheatAfterForageCrop!$J$117,0)</f>
        <v>0</v>
      </c>
      <c r="FL5" s="1">
        <f>IF($D5="DN Spring Wheat after Spring Legume",$H5*DNSpringWinterAfterSpringLegume!$J$117,0)</f>
        <v>0</v>
      </c>
      <c r="FM5" s="1">
        <f>IF($D5="DN Spring Wheat after Forage Crop",$H5*DNSpringWheatAfterForageCrop!$J$117,0)</f>
        <v>0</v>
      </c>
      <c r="FN5" s="1">
        <f>IF($D5="DN Spring Wheat after Winter Crop",$H5*DNSpringWheatAfterWinterCrop!$J$117,0)</f>
        <v>0</v>
      </c>
      <c r="FO5" s="1">
        <f>IF($D5="Chickpea after Forage Crop",$H5*ChickpeaAfterForageCrop!$J$117,0)</f>
        <v>0</v>
      </c>
      <c r="FP5" s="1">
        <f>IF($D5="Chickpea after Cereal",$H5*ChickpeaAfterCereal!$J$117,0)</f>
        <v>0</v>
      </c>
      <c r="FQ5" s="1">
        <f>IF($D5="Spring Pea after Cereal",$H5*SpringPeaAfterCereal!$J$117,0)</f>
        <v>0</v>
      </c>
      <c r="FR5" s="1">
        <f>IF($D5="Forage Crop-St. John Area",$H5*'ForageCrop-StJohn'!$J$117,0)</f>
        <v>0</v>
      </c>
      <c r="FS5" s="1">
        <f>IF($D5="Forage Crop-Genesee Area",$H5*'ForageCrop-Genesee'!$J$117,0)</f>
        <v>0</v>
      </c>
      <c r="FT5" s="1">
        <f>IF($D5="Livestock Grazing",$H5*LivestockGrazing!$J$117,0)</f>
        <v>0</v>
      </c>
      <c r="FU5" s="1">
        <f>IF($D5="SW Winter Wheat after Cereal",$H5*SWWinterWheatafterCereal!$J$117,0)</f>
        <v>0</v>
      </c>
      <c r="FV5" s="1">
        <f>IF($D5="SW Winter Wheat after Fallow",$H5*SWWinterWheatAfterFallow!$J$117,0)</f>
        <v>0</v>
      </c>
      <c r="FW5" s="1">
        <f>IF($D5="Chem-Fallow",$H5*'Chem-Fallow'!$J$117,0)</f>
        <v>0</v>
      </c>
      <c r="FX5" s="1">
        <f>IF($D5="Flex-Fallow",$H5*'Flex-Fallow'!$J$117,0)</f>
        <v>0</v>
      </c>
      <c r="FY5" s="1">
        <f>IF($D5="Spring Barley",$H5*SpringBarley!$J$117,0)</f>
        <v>0</v>
      </c>
      <c r="FZ5" s="1">
        <f>IF($D5="Roundup Ready Spring Canola",$H5*'SpringCanola_R-Ready'!$J$117,0)</f>
        <v>0</v>
      </c>
      <c r="GA5" s="1">
        <f>IF($D5="Spring Canola",$H5*SpringCanola!$J$117,0)</f>
        <v>0</v>
      </c>
      <c r="GB5" s="1">
        <f>IF($D5="Spring Lentils",$H5*SpringLentils!$J$117,0)</f>
        <v>0</v>
      </c>
      <c r="GC5" s="1">
        <f>IF($D5="SW Spring Wheat",$H5*SWSpringWheat!$J$117,0)</f>
        <v>0</v>
      </c>
      <c r="GD5" s="1">
        <f>IF($D5="HR Winter Wheat",$H5*HRWinterWheat!$J$117,0)</f>
        <v>0</v>
      </c>
      <c r="GE5" s="1">
        <f>IF($D5="Winter Pea",$H5*WinterPea!$J$117,0)</f>
        <v>0</v>
      </c>
      <c r="GF5" s="1">
        <f>IF($D5="Winter Canola",$H5*WinterCanola!$J$117,0)</f>
        <v>0</v>
      </c>
      <c r="GG5" s="322">
        <f>IF($D5="Forage Crop-Soil Builder Blend",$H5*ForageCrop!$J$117,0)</f>
        <v>0</v>
      </c>
      <c r="GH5" s="1">
        <f>IF($D5="SW Winter Wheat after Spring Legume",$H5*SWWinterWheatAfterSpringLegume!$J$118,0)</f>
        <v>17812.464405038594</v>
      </c>
      <c r="GI5" s="1">
        <f>IF($D5="SW Winter Wheat after Forage Crop",$H5*SWWinterWheatAfterForageCrop!$J$118,0)</f>
        <v>0</v>
      </c>
      <c r="GJ5" s="1">
        <f>IF($D5="DN Spring Wheat after Spring Legume",$H5*DNSpringWinterAfterSpringLegume!$J$118,0)</f>
        <v>0</v>
      </c>
      <c r="GK5" s="1">
        <f>IF($D5="DN Spring Wheat after Forage Crop",$H5*DNSpringWheatAfterForageCrop!$J$118,0)</f>
        <v>0</v>
      </c>
      <c r="GL5" s="1">
        <f>IF($D5="DN Spring Wheat after Winter Crop",$H5*DNSpringWheatAfterWinterCrop!$J$118,0)</f>
        <v>0</v>
      </c>
      <c r="GM5" s="1">
        <f>IF($D5="Chickpea after Forage Crop",$H5*ChickpeaAfterForageCrop!$J$118,0)</f>
        <v>0</v>
      </c>
      <c r="GN5" s="1">
        <f>IF($D5="Chickpea after Cereal",$H5*ChickpeaAfterCereal!$J$118,0)</f>
        <v>0</v>
      </c>
      <c r="GO5" s="1">
        <f>IF($D5="Spring Pea after Cereal",$H5*SpringPeaAfterCereal!$J$118,0)</f>
        <v>0</v>
      </c>
      <c r="GP5" s="1">
        <f>IF($D5="Forage Crop-St. John Area",$H5*'ForageCrop-StJohn'!$J$118,0)</f>
        <v>0</v>
      </c>
      <c r="GQ5" s="1">
        <f>IF($D5="Forage Crop-Genesee Area",$H5*'ForageCrop-Genesee'!$J$118,0)</f>
        <v>0</v>
      </c>
      <c r="GR5" s="1">
        <f>IF($D5="Livestock Grazing",$H5*LivestockGrazing!$J$118,0)</f>
        <v>0</v>
      </c>
      <c r="GS5" s="1">
        <f>IF($D5="SW Winter Wheat after Cereal",$H5*SWWinterWheatafterCereal!$J$118,0)</f>
        <v>0</v>
      </c>
      <c r="GT5" s="1">
        <f>IF($D5="SW Winter Wheat after Fallow",$H5*SWWinterWheatAfterFallow!$J$118,0)</f>
        <v>0</v>
      </c>
      <c r="GU5" s="1">
        <f>IF($D5="Chem-Fallow",$H5*'Chem-Fallow'!$J$118,0)</f>
        <v>0</v>
      </c>
      <c r="GV5" s="1">
        <f>IF($D5="Flex-Fallow",$H5*'Flex-Fallow'!$J$118,0)</f>
        <v>0</v>
      </c>
      <c r="GW5" s="1">
        <f>IF($D5="Spring Barley",$H5*SpringBarley!$J$118,0)</f>
        <v>0</v>
      </c>
      <c r="GX5" s="1">
        <f>IF($D5="Roundup Ready Spring Canola",$H5*'SpringCanola_R-Ready'!$J$118,0)</f>
        <v>0</v>
      </c>
      <c r="GY5" s="1">
        <f>IF($D5="Spring Canola",$H5*SpringCanola!$J$118,0)</f>
        <v>0</v>
      </c>
      <c r="GZ5" s="1">
        <f>IF($D5="Spring Lentils",$H5*SpringLentils!$J$118,0)</f>
        <v>0</v>
      </c>
      <c r="HA5" s="1">
        <f>IF($D5="SW Spring Wheat",$H5*SWSpringWheat!$J$118,0)</f>
        <v>0</v>
      </c>
      <c r="HB5" s="1">
        <f>IF($D5="HR Winter Wheat",$H5*HRWinterWheat!$J$118,0)</f>
        <v>0</v>
      </c>
      <c r="HC5" s="1">
        <f>IF($D5="Winter Pea",$H5*WinterPea!$J$118,0)</f>
        <v>0</v>
      </c>
      <c r="HD5" s="1">
        <f>IF($D5="Winter Canola",$H5*WinterCanola!$J$118,0)</f>
        <v>0</v>
      </c>
      <c r="HE5" s="322">
        <f>IF($D5="Forage Crop-Soil Builder Blend",$H5*ForageCrop!$J$118,0)</f>
        <v>0</v>
      </c>
      <c r="HF5" s="1">
        <f>IF($D5="SW Winter Wheat after Spring Legume",($H5*(SUM(SWWinterWheatAfterSpringLegume!$E$9:$E$16)+SWWinterWheatAfterSpringLegume!$G$16))/2000,0)</f>
        <v>79.2</v>
      </c>
      <c r="HG5" s="1">
        <f>IF($D5="SW Winter Wheat after Forage Crop",($H5*(SUM(SWWinterWheatAfterForageCrop!$E$9:$E$16)+SWWinterWheatAfterForageCrop!$G$17))/2000,0)</f>
        <v>0</v>
      </c>
      <c r="HH5" s="1">
        <f>IF($D5="DN Spring Wheat after Spring Legume",($H5*(SUM(DNSpringWinterAfterSpringLegume!$E$9:$E$16)+DNSpringWinterAfterSpringLegume!$G$16))/2000,0)</f>
        <v>0</v>
      </c>
      <c r="HI5" s="1">
        <f>IF($D5="DN Spring Wheat after Forage Crop",($H5*(SUM(DNSpringWheatAfterForageCrop!$E$9:$E$16)+DNSpringWheatAfterForageCrop!$G$14))/2000,0)</f>
        <v>0</v>
      </c>
      <c r="HJ5" s="1">
        <f>IF($D5="DN Spring Wheat after Winter Crop",($H5*(SUM(DNSpringWheatAfterWinterCrop!$E$9:$E$16)+DNSpringWheatAfterWinterCrop!$G$16))/2000,0)</f>
        <v>0</v>
      </c>
      <c r="HK5" s="1">
        <f>IF($D5="Chickpea after Forage Crop",($H5*(SUM(ChickpeaAfterForageCrop!$E$9:$E$16)+ChickpeaAfterForageCrop!$G$14))/2000,0)</f>
        <v>0</v>
      </c>
      <c r="HL5" s="1">
        <f>IF($D5="Chickpea after Cereal",($H5*(SUM(ChickpeaAfterCereal!$E$9:$E$16)+ChickpeaAfterCereal!$G$14))/2000,0)</f>
        <v>0</v>
      </c>
      <c r="HM5" s="1">
        <f>IF($D5="Spring Pea after Cereal",($H5*(SUM(SpringPeaAfterCereal!$E$9:$E$16)+SpringPeaAfterCereal!$G$14))/2000,0)</f>
        <v>0</v>
      </c>
      <c r="HN5" s="1">
        <f>IF($D5="Forage Crop-St. John Area",($H5*(SUM('ForageCrop-StJohn'!$E$9:$E$16)+'ForageCrop-StJohn'!$G$14))/2000,0)</f>
        <v>0</v>
      </c>
      <c r="HO5" s="1">
        <f>IF($D5="Forage Crop-Genesee Area",($H5*(SUM('ForageCrop-Genesee'!$E$9:$E$16)+'ForageCrop-Genesee'!$G$14))/2000,0)</f>
        <v>0</v>
      </c>
      <c r="HP5" s="1">
        <f>IF($D5="Livestock Grazing",($H5*(SUM(LivestockGrazing!$E$9:$E$16)+LivestockGrazing!$G$14))/2000,0)</f>
        <v>0</v>
      </c>
      <c r="HQ5" s="1">
        <f>IF($D5="SW Winter Wheat after Cereal",($H5*(SUM(SWWinterWheatafterCereal!$E$9:$E$16)+SWWinterWheatafterCereal!$G$16))/2000,0)</f>
        <v>0</v>
      </c>
      <c r="HR5" s="1">
        <f>IF($D5="SW Winter Wheat after Fallow",($H5*(SUM(SWWinterWheatAfterFallow!$E$9:$E$16)+SWWinterWheatAfterFallow!$G$14))/2000,0)</f>
        <v>0</v>
      </c>
      <c r="HS5" s="1">
        <f>IF($D5="Chem-Fallow",($H5*(SUM('Chem-Fallow'!$E$9:$E$16)+'Chem-Fallow'!$G$16))/2000,0)</f>
        <v>0</v>
      </c>
      <c r="HT5" s="1">
        <f>IF($D5="Flex-Fallow",($H5*(SUM('Flex-Fallow'!$E$9:$E$16)+'Flex-Fallow'!$G$16))/2000,0)</f>
        <v>0</v>
      </c>
      <c r="HU5" s="1">
        <f>IF($D5="Spring Barley",($H5*(SUM(SpringBarley!$E$9:$E$16)+SpringBarley!$G$16))/2000,0)</f>
        <v>0</v>
      </c>
      <c r="HV5" s="1">
        <f>IF($D5="Roundup Ready Spring Canola",($H5*(SUM('SpringCanola_R-Ready'!$E$9:$E$16)+'SpringCanola_R-Ready'!$G$14))/2000,0)</f>
        <v>0</v>
      </c>
      <c r="HW5" s="1">
        <f>IF($D5="Spring Canola",($H5*(SUM(SpringCanola!$E$9:$E$16)+SpringCanola!$G$14))/2000,0)</f>
        <v>0</v>
      </c>
      <c r="HX5" s="1">
        <f>IF($D5="Spriing Lentils",($H5*(SUM(SpringLentils!$E$9:$E$16)+SpringLentils!$G$14))/2000,0)</f>
        <v>0</v>
      </c>
      <c r="HY5" s="1">
        <f>IF($D5="SW Spring Wheat",($H5*(SUM(SWSpringWheat!$E$9:$E$16)+SWSpringWheat!$G$18))/2000,0)</f>
        <v>0</v>
      </c>
      <c r="HZ5" s="1">
        <f>IF($D5="HR Winter Wheat",($H5*(SUM(HRWinterWheat!$E$9:$E$16)+HRWinterWheat!$G$16))/2000,0)</f>
        <v>0</v>
      </c>
      <c r="IA5" s="1">
        <f>IF($D5="Winter Pea",($H5*(SUM(WinterPea!$E$9:$E$16)+WinterPea!$G$14))/2000,0)</f>
        <v>0</v>
      </c>
      <c r="IB5" s="1">
        <f>IF($D5="Winter Canola",($H5*(SUM(WinterCanola!$E$9:$E$16)+WinterCanola!$G$14))/2000,0)</f>
        <v>0</v>
      </c>
      <c r="IC5" s="322">
        <f>IF($D5="Forage Crop-Soil Builder Blend",($H5*(SUM(ForageCrop!$E$9:$E$16)+ForageCrop!$G$14))/2000,0)</f>
        <v>0</v>
      </c>
      <c r="ID5" s="1">
        <f>IF($D5="SW Winter Wheat after Spring Legume",$H5*SWWinterWheatAfterSpringLegume!$G$62,0)</f>
        <v>592.578125</v>
      </c>
      <c r="IE5" s="1">
        <f>IF($D5="SW Winter Wheat after Forage Crop",$H5*SWWinterWheatAfterForageCrop!$G$62,0)</f>
        <v>0</v>
      </c>
      <c r="IF5" s="1">
        <f>IF($D5="DN Spring Wheat after Spring Legume",$H5*DNSpringWinterAfterSpringLegume!$G$62,0)</f>
        <v>0</v>
      </c>
      <c r="IG5" s="1">
        <f>IF($D5="DN Spring Wheat after Forage Crop",$H5*DNSpringWheatAfterForageCrop!$G$62,0)</f>
        <v>0</v>
      </c>
      <c r="IH5" s="1">
        <f>IF($D5="DN Spring Wheat after Winter Crop",$H5*DNSpringWheatAfterWinterCrop!$G$62,0)</f>
        <v>0</v>
      </c>
      <c r="II5" s="1">
        <f>IF($D5="Chickpea after Forage Crop",$H5*ChickpeaAfterForageCrop!$G$62,0)</f>
        <v>0</v>
      </c>
      <c r="IJ5" s="1">
        <f>IF($D5="Chickpea after Cereal",$H5*ChickpeaAfterCereal!$G$62,0)</f>
        <v>0</v>
      </c>
      <c r="IK5" s="1">
        <f>IF($D5="Spring Pea after Cereal",$H5*SpringPeaAfterCereal!$G$62,0)</f>
        <v>0</v>
      </c>
      <c r="IL5" s="1">
        <f>IF($D5="Forage Crop-St. John Area",$H5*'ForageCrop-StJohn'!$G$62,0)</f>
        <v>0</v>
      </c>
      <c r="IM5" s="1">
        <f>IF($D5="Forage Crop-Genesee Area",$H5*'ForageCrop-Genesee'!$G$62,0)</f>
        <v>0</v>
      </c>
      <c r="IN5" s="1">
        <f>IF($D5="Livestock Grazing",$H5*LivestockGrazing!$G$62,0)</f>
        <v>0</v>
      </c>
      <c r="IO5" s="1">
        <f>IF($D5="SW Winter Wheat after Cereal",$H5*SWWinterWheatafterCereal!$G$62,0)</f>
        <v>0</v>
      </c>
      <c r="IP5" s="1">
        <f>IF($D5="SW Winter Wheat after Fallow",$H5*SWWinterWheatAfterFallow!$G$62,0)</f>
        <v>0</v>
      </c>
      <c r="IQ5" s="1">
        <f>IF($D5="Chem-Fallow",$H5*'Chem-Fallow'!$G$62,0)</f>
        <v>0</v>
      </c>
      <c r="IR5" s="1">
        <f>IF($D5="Flex-Fallow",$H5*'Flex-Fallow'!$G$62,0)</f>
        <v>0</v>
      </c>
      <c r="IS5" s="1">
        <f>IF($D5="Spring Barley",$H5*SpringBarley!$G$62,0)</f>
        <v>0</v>
      </c>
      <c r="IT5" s="1">
        <f>IF($D5="Roundup Ready Spring Canola",$H5*'SpringCanola_R-Ready'!$G$62,0)</f>
        <v>0</v>
      </c>
      <c r="IU5" s="1">
        <f>IF($D5="Spring Canola",$H5*SpringCanola!$G$62,0)</f>
        <v>0</v>
      </c>
      <c r="IV5" s="1">
        <f>IF($D5="Spriing Lentils",$H5*SpringLentils!$G$62,0)</f>
        <v>0</v>
      </c>
      <c r="IW5" s="1">
        <f>IF($D5="SW Spring Wheat",$H5*SWSpringWheat!$G$62,0)</f>
        <v>0</v>
      </c>
      <c r="IX5" s="1">
        <f>IF($D5="HR Winter Wheat",$H5*HRWinterWheat!$G$62,0)</f>
        <v>0</v>
      </c>
      <c r="IY5" s="1">
        <f>IF($D5="Winter Pea",$H5*WinterPea!$G$62,0)</f>
        <v>0</v>
      </c>
      <c r="IZ5" s="1">
        <f>IF($D5="Winter Canola",$H5*+WinterCanola!$G$62,0)</f>
        <v>0</v>
      </c>
      <c r="JA5" s="1">
        <f>IF($D5="Forage Crop-Soil Builder Blend",$H5*ForageCrop!$G$62,0)</f>
        <v>0</v>
      </c>
      <c r="JB5" s="1">
        <f>IF($D5="SW Winter Wheat after Spring Legume",$H5*'Prices_Yields&amp;SeedInputs'!E5,0)</f>
        <v>90000</v>
      </c>
      <c r="JC5" s="1">
        <f>IF($D5="SW Winter Wheat after Forage Crop",$H5*'Prices_Yields&amp;SeedInputs'!E6,0)</f>
        <v>0</v>
      </c>
      <c r="JD5" s="1">
        <f>IF($D5="DN Spring Wheat after Spring Legume",$H5*'Prices_Yields&amp;SeedInputs'!E$7,0)</f>
        <v>0</v>
      </c>
      <c r="JE5" s="1">
        <f>IF($D5="DN Spring Wheat after Forage Crop",$H5*'Prices_Yields&amp;SeedInputs'!E$8,0)</f>
        <v>0</v>
      </c>
      <c r="JF5" s="1">
        <f>IF($D5="DN Spring Wheat after Winter Crop",$H5*'Prices_Yields&amp;SeedInputs'!E$9,0)</f>
        <v>0</v>
      </c>
      <c r="JG5" s="1">
        <f>IF($D5="Chickpea after Forage Crop",$H5*'Prices_Yields&amp;SeedInputs'!E$10,0)</f>
        <v>0</v>
      </c>
      <c r="JH5" s="1">
        <f>IF($D5="Chickpea after Cereal",$H5*'Prices_Yields&amp;SeedInputs'!E$11,0)</f>
        <v>0</v>
      </c>
      <c r="JI5" s="1">
        <f>IF($D5="Spring Pea after Cereal",$H5*'Prices_Yields&amp;SeedInputs'!E$12,0)</f>
        <v>0</v>
      </c>
      <c r="JJ5" s="1">
        <f>IF($D5="Forage Crop-St. John Area",$H5*'Prices_Yields&amp;SeedInputs'!E$13,0)</f>
        <v>0</v>
      </c>
      <c r="JK5" s="1">
        <f>IF($D5="Forage Crop-Genesee Area",$H5*'Prices_Yields&amp;SeedInputs'!E$14,0)</f>
        <v>0</v>
      </c>
      <c r="JL5" s="1">
        <f>IF($D5="Livestock Grazing",$H5*'Prices_Yields&amp;SeedInputs'!E$15,0)</f>
        <v>0</v>
      </c>
      <c r="JM5" s="1">
        <f>IF($D5="SW Winter Wheat after Cereal",$H5*'Prices_Yields&amp;SeedInputs'!E$16,0)</f>
        <v>0</v>
      </c>
      <c r="JN5" s="1">
        <f>IF($D5="SW Winter Wheat after Fallow",$H5*'Prices_Yields&amp;SeedInputs'!E$17,0)</f>
        <v>0</v>
      </c>
      <c r="JO5" s="1">
        <f>IF($D5="Chem-Fallow",$H5*'Prices_Yields&amp;SeedInputs'!E$18,0)</f>
        <v>0</v>
      </c>
      <c r="JP5" s="1">
        <f>IF($D5="Flex-Fallow",$H5*'Prices_Yields&amp;SeedInputs'!E$19,0)</f>
        <v>0</v>
      </c>
      <c r="JQ5" s="1">
        <f>IF($D5="Spring Barley",$H5*'Prices_Yields&amp;SeedInputs'!E$20,0)</f>
        <v>0</v>
      </c>
      <c r="JR5" s="1">
        <f>IF($D5="Roundup Ready Spring Canola",$H5*'Prices_Yields&amp;SeedInputs'!E$21,0)</f>
        <v>0</v>
      </c>
      <c r="JS5" s="1">
        <f>IF($D5="Spring Canola",$H5*'Prices_Yields&amp;SeedInputs'!E$22,0)</f>
        <v>0</v>
      </c>
      <c r="JT5" s="1">
        <f>IF($D5="Spriing Lentils",$H5*'Prices_Yields&amp;SeedInputs'!E$23,0)</f>
        <v>0</v>
      </c>
      <c r="JU5" s="1">
        <f>IF($D5="SW Spring Wheat",$H5*'Prices_Yields&amp;SeedInputs'!E$24,0)</f>
        <v>0</v>
      </c>
      <c r="JV5" s="1">
        <f>IF($D5="HR Winter Wheat",$H5*'Prices_Yields&amp;SeedInputs'!E$25,0)</f>
        <v>0</v>
      </c>
      <c r="JW5" s="1">
        <f>IF($D5="Winter Pea",$H5*'Prices_Yields&amp;SeedInputs'!E$26,0)</f>
        <v>0</v>
      </c>
      <c r="JX5" s="1">
        <f>IF($D5="Winter Canola",$H5*'Prices_Yields&amp;SeedInputs'!E$27,0)</f>
        <v>0</v>
      </c>
      <c r="JY5" s="1">
        <f>IF($D5="Forage Crop-Soil Builder Blend",$H5*'Prices_Yields&amp;SeedInputs'!E$28,0)</f>
        <v>0</v>
      </c>
    </row>
    <row r="6" spans="1:288" ht="20" customHeight="1">
      <c r="A6" s="3"/>
      <c r="B6" s="621"/>
      <c r="C6" s="43">
        <v>2</v>
      </c>
      <c r="D6" s="135" t="s">
        <v>189</v>
      </c>
      <c r="E6" s="136">
        <v>0.4</v>
      </c>
      <c r="F6" s="303">
        <f>IF(D6="Livestock Grazing",0,E6)</f>
        <v>0.4</v>
      </c>
      <c r="G6" s="148">
        <f>IF(D6="Livestock Grazing",0,$I$2*E6)</f>
        <v>1000</v>
      </c>
      <c r="H6" s="306">
        <f>$I$2*E6</f>
        <v>1000</v>
      </c>
      <c r="I6" s="140">
        <f>SUM(AT6:BQ6)</f>
        <v>3.8697624360432314</v>
      </c>
      <c r="J6" s="140"/>
      <c r="M6" s="241"/>
      <c r="N6" s="5" t="s">
        <v>130</v>
      </c>
      <c r="O6" s="200">
        <v>2356.73828125</v>
      </c>
      <c r="P6" s="200">
        <f>SUM('Farm and Rotation Setup'!ID5:JA9)</f>
        <v>1399.609375</v>
      </c>
      <c r="Q6" s="197">
        <f t="shared" si="0"/>
        <v>-0.40612439398334232</v>
      </c>
      <c r="R6" s="241"/>
      <c r="S6" s="3"/>
      <c r="T6" s="3"/>
      <c r="V6" s="1">
        <f>IF($D6="SW Winter Wheat after Spring Legume",$H6,0)</f>
        <v>0</v>
      </c>
      <c r="W6" s="1">
        <f>IF($D6="SW Winter Wheat after Forage Crop",$H6,0)</f>
        <v>0</v>
      </c>
      <c r="X6" s="1">
        <f>IF($D6="DN Spring Wheat after Spring Legume",$H6,0)</f>
        <v>0</v>
      </c>
      <c r="Y6" s="1">
        <f>IF($D6="DN Spring Wheat after Forage Crop",$H6,0)</f>
        <v>0</v>
      </c>
      <c r="Z6" s="1">
        <f>IF($D6="DN Spring Wheat after Winter Crop",$H6,0)</f>
        <v>0</v>
      </c>
      <c r="AA6" s="1">
        <f>IF($D6="Chickpea after Forage Crop",$H6,0)</f>
        <v>0</v>
      </c>
      <c r="AB6" s="1">
        <f>IF($D6="Chickpea after Cereal",$H6,0)</f>
        <v>0</v>
      </c>
      <c r="AC6" s="1">
        <f>IF($D6="Spring Pea after Cereal",$H6,0)</f>
        <v>0</v>
      </c>
      <c r="AD6" s="1">
        <f>IF($D6="Forage Crop-St. John Area",$H6,0)</f>
        <v>0</v>
      </c>
      <c r="AE6" s="1">
        <f>IF($D6="Forage Crop-Genesee Area",$H6,0)</f>
        <v>0</v>
      </c>
      <c r="AF6" s="1">
        <f>IF($D6="Livestock Grazing",$H6,0)</f>
        <v>0</v>
      </c>
      <c r="AG6" s="1">
        <f>IF($D6="SW Winter Wheat after Cereal",$H6,0)</f>
        <v>0</v>
      </c>
      <c r="AH6" s="1">
        <f>IF($D6="SW Winter Wheat after Fallow",$H6,0)</f>
        <v>0</v>
      </c>
      <c r="AI6" s="1">
        <f>IF($D6="Chem-Fallow",$H6,0)</f>
        <v>0</v>
      </c>
      <c r="AJ6" s="1">
        <f>IF($D6="Flex-Fallow",$H6,0)</f>
        <v>0</v>
      </c>
      <c r="AK6" s="1">
        <f>IF($D6="Spring Barley",$H6,0)</f>
        <v>0</v>
      </c>
      <c r="AL6" s="1">
        <f>IF($D6="Roundup Ready Spring Canola",$H6,0)</f>
        <v>0</v>
      </c>
      <c r="AM6" s="1">
        <f>IF($D6="Spring Canola",$H6,0)</f>
        <v>0</v>
      </c>
      <c r="AN6" s="1">
        <f>IF($D6="Spring Lentils",$H6,0)</f>
        <v>0</v>
      </c>
      <c r="AO6" s="1">
        <f>IF($D6="SW Spring Wheat",$H6,0)</f>
        <v>0</v>
      </c>
      <c r="AP6" s="1">
        <f>IF($D6="HR Winter Wheat",$H6,0)</f>
        <v>0</v>
      </c>
      <c r="AQ6" s="1">
        <f>IF($D6="Winter Pea",$H6,0)</f>
        <v>0</v>
      </c>
      <c r="AR6" s="1">
        <f>IF($D6="Winter Canola",$H6,0)</f>
        <v>1000</v>
      </c>
      <c r="AS6" s="322">
        <f>IF($D6="Forage Crop-Soil Builder Blend",$H6,0)</f>
        <v>0</v>
      </c>
      <c r="AT6" s="1">
        <f>IF($D6="SW Winter Wheat after Spring Legume",SWWinterWheatAfterSpringLegume!$F$138,0)</f>
        <v>0</v>
      </c>
      <c r="AU6" s="1">
        <f>IF($D6="SW Winter Wheat after Forage Crop",SWWinterWheatAfterForageCrop!$F$138,0)</f>
        <v>0</v>
      </c>
      <c r="AV6" s="1">
        <f>IF($D6="DN Spring Wheat after Spring Legume",DNSpringWinterAfterSpringLegume!$F$138,0)</f>
        <v>0</v>
      </c>
      <c r="AW6" s="1">
        <f>IF($D6="DN Spring Wheat after Forage Crop",DNSpringWheatAfterForageCrop!$F$138,0)</f>
        <v>0</v>
      </c>
      <c r="AX6" s="1">
        <f>IF($D6="DN Spring Wheat after Winter Crop",DNSpringWheatAfterWinterCrop!$F$138,0)</f>
        <v>0</v>
      </c>
      <c r="AY6" s="1">
        <f>IF($D6="Chickpea after Forage Crop",ChickpeaAfterForageCrop!$F$138,0)</f>
        <v>0</v>
      </c>
      <c r="AZ6" s="1">
        <f>IF($D6="Chickpea after Cereal",ChickpeaAfterCereal!$F$138,0)</f>
        <v>0</v>
      </c>
      <c r="BA6" s="1">
        <f>IF($D6="Spring Pea after Cereal",SpringPeaAfterCereal!$F$138,0)</f>
        <v>0</v>
      </c>
      <c r="BB6" s="1">
        <f>IF($D6="Forage Crop-St. John Area",'ForageCrop-StJohn'!$F$138,0)</f>
        <v>0</v>
      </c>
      <c r="BC6" s="1">
        <f>IF($D6="Forage Crop-Genesee Area",'ForageCrop-Genesee'!$F$138,0)</f>
        <v>0</v>
      </c>
      <c r="BD6" s="1">
        <f>IF($D6="Livestock Grazing",LivestockGrazing!$F$138,0)</f>
        <v>0</v>
      </c>
      <c r="BE6" s="1">
        <f>IF($D6="SW Winter Wheat after Cereal",SWWinterWheatafterCereal!$F$138,0)</f>
        <v>0</v>
      </c>
      <c r="BF6" s="1">
        <f>IF($D6="SW Winter Wheat after Fallow",SWWinterWheatAfterFallow!$F$138,0)</f>
        <v>0</v>
      </c>
      <c r="BG6" s="1">
        <f>IF($D6="Chem-Fallow",'Chem-Fallow'!$F$138,0)</f>
        <v>0</v>
      </c>
      <c r="BH6" s="1">
        <f>IF($D6="Flex-Fallow",'Flex-Fallow'!$F$138,0)</f>
        <v>0</v>
      </c>
      <c r="BI6" s="1">
        <f>IF($D6="Spring Barley",SpringBarley!$F$138,0)</f>
        <v>0</v>
      </c>
      <c r="BJ6" s="1">
        <f>IF($D6="Roundup Ready Spring Canola",'SpringCanola_R-Ready'!$F$138,0)</f>
        <v>0</v>
      </c>
      <c r="BK6" s="1">
        <f>IF($D6="Spring Canola",SpringCanola!$F$138,0)</f>
        <v>0</v>
      </c>
      <c r="BL6" s="1">
        <f>IF($D6="Spring Lentils",SpringLentils!$F$138,0)</f>
        <v>0</v>
      </c>
      <c r="BM6" s="1">
        <f>IF($D6="SW Spring Wheat",SWSpringWheat!$F$138,0)</f>
        <v>0</v>
      </c>
      <c r="BN6" s="1">
        <f>IF($D6="HR Winter Wheat",HRWinterWheat!$F$138,0)</f>
        <v>0</v>
      </c>
      <c r="BO6" s="1">
        <f>IF($D6="Winter Pea",WinterPea!$F$138,0)</f>
        <v>0</v>
      </c>
      <c r="BP6" s="1">
        <f>IF($D6="Winter Canola",WinterCanola!$F$138,0)</f>
        <v>3.8697624360432314</v>
      </c>
      <c r="BQ6" s="322">
        <f>IF($D6="Forage Crop-Soil Builder Blend",ForageCrop!$F$138,0)</f>
        <v>0</v>
      </c>
      <c r="BR6" s="1">
        <f>IF($D6="SW Winter Wheat after Spring Legume",H6*SWWinterWheatAfterSpringLegume!$F$138,0)</f>
        <v>0</v>
      </c>
      <c r="BS6" s="1">
        <f>IF($D6="SW Winter Wheat after Forage Crop",H6*SWWinterWheatAfterForageCrop!$F$138,0)</f>
        <v>0</v>
      </c>
      <c r="BT6" s="1">
        <f>IF($D6="DN Spring Wheat after Spring Legume",H6*DNSpringWinterAfterSpringLegume!$F$138,0)</f>
        <v>0</v>
      </c>
      <c r="BU6" s="1">
        <f>IF($D6="DN Spring Wheat after Forage Crop",H6*DNSpringWheatAfterForageCrop!$F$138,0)</f>
        <v>0</v>
      </c>
      <c r="BV6" s="1">
        <f>IF($D6="DN Spring Wheat after Winter Crop",H6*DNSpringWheatAfterWinterCrop!$F$138,0)</f>
        <v>0</v>
      </c>
      <c r="BW6" s="1">
        <f>IF($D6="Chickpea after Forage Crop",H6*ChickpeaAfterForageCrop!$F$138,0)</f>
        <v>0</v>
      </c>
      <c r="BX6" s="1">
        <f>IF($D6="Chickpea after Cereal",H6*ChickpeaAfterCereal!$F$138,0)</f>
        <v>0</v>
      </c>
      <c r="BY6" s="1">
        <f>IF($D6="Spring Pea after Cereal",H6*SpringPeaAfterCereal!$F$138,0)</f>
        <v>0</v>
      </c>
      <c r="BZ6" s="1">
        <f>IF($D6="Forage Crop-St. John Area",H6*'ForageCrop-StJohn'!$F$138,0)</f>
        <v>0</v>
      </c>
      <c r="CA6" s="1">
        <f>IF($D6="Forage Crop-Genesee Area",H6*'ForageCrop-Genesee'!$F$138,0)</f>
        <v>0</v>
      </c>
      <c r="CB6" s="1">
        <f>IF($D6="Livestock Grazing",H6*LivestockGrazing!$F$138,0)</f>
        <v>0</v>
      </c>
      <c r="CC6" s="1">
        <f>IF($D6="SW Winter Wheat after Cereal",H6*SWWinterWheatafterCereal!$F$138,0)</f>
        <v>0</v>
      </c>
      <c r="CD6" s="1">
        <f>IF($D6="SW Winter Wheat after Fallow",H6*SWWinterWheatAfterFallow!$F$138,0)</f>
        <v>0</v>
      </c>
      <c r="CE6" s="1">
        <f>IF($D6="Chem-Fallow",H6*'Chem-Fallow'!$F$138,0)</f>
        <v>0</v>
      </c>
      <c r="CF6" s="1">
        <f>IF($D6="Flex-Fallow",H6*'Flex-Fallow'!$F$138,0)</f>
        <v>0</v>
      </c>
      <c r="CG6" s="1">
        <f>IF($D6="Spring Barley",H6*SpringBarley!$F$138,0)</f>
        <v>0</v>
      </c>
      <c r="CH6" s="1">
        <f>IF($D6="Roundup Ready Spring Canola",H6*'SpringCanola_R-Ready'!$F$138,0)</f>
        <v>0</v>
      </c>
      <c r="CI6" s="1">
        <f>IF($D6="Spring Canola",H6*SpringCanola!$F$138,0)</f>
        <v>0</v>
      </c>
      <c r="CJ6" s="1">
        <f>IF($D6="Spring Lentils",H6*SpringLentils!$F$138,0)</f>
        <v>0</v>
      </c>
      <c r="CK6" s="1">
        <f>IF($D6="SW Spring Wheat",H6*SWSpringWheat!$F$138,0)</f>
        <v>0</v>
      </c>
      <c r="CL6" s="1">
        <f>IF($D6="HR Winter Wheat",H6*HRWinterWheat!$F$138,0)</f>
        <v>0</v>
      </c>
      <c r="CM6" s="1">
        <f>IF($D6="Winter Pea",H6*WinterPea!$F$138,0)</f>
        <v>0</v>
      </c>
      <c r="CN6" s="1">
        <f>IF($D6="Winter Canola",H6*WinterCanola!$F$138,0)</f>
        <v>3869.7624360432314</v>
      </c>
      <c r="CO6" s="322">
        <f>IF($D6="Forage Crop-Soil Builder Blend",H6*ForageCrop!$F$138,0)</f>
        <v>0</v>
      </c>
      <c r="CP6" s="1">
        <f>IF($D6="SW Winter Wheat after Spring Legume",H6*'Prices_Yields&amp;SeedInputs'!J$5,0)</f>
        <v>0</v>
      </c>
      <c r="CQ6" s="1">
        <f>IF($D6="SW Winter Wheat after Forage Crop",H6*'Prices_Yields&amp;SeedInputs'!J$6,0)</f>
        <v>0</v>
      </c>
      <c r="CR6" s="1">
        <f>IF($D6="DN Spring Wheat after Spring Legume",H6*'Prices_Yields&amp;SeedInputs'!J$7,0)</f>
        <v>0</v>
      </c>
      <c r="CS6" s="1">
        <f>IF($D6="DN Spring Wheat after Forage Crop",H6*'Prices_Yields&amp;SeedInputs'!J$8,0)</f>
        <v>0</v>
      </c>
      <c r="CT6" s="1">
        <f>IF($D6="DN Spring Wheat after Winter Crop",H6*'Prices_Yields&amp;SeedInputs'!J$9,0)</f>
        <v>0</v>
      </c>
      <c r="CU6" s="1">
        <f>IF($D6="Chickpea after Forage Crop",H6*'Prices_Yields&amp;SeedInputs'!J$10,0)</f>
        <v>0</v>
      </c>
      <c r="CV6" s="1">
        <f>IF($D6="Chickpea after Cereal",H6*'Prices_Yields&amp;SeedInputs'!J$11,0)</f>
        <v>0</v>
      </c>
      <c r="CW6" s="1">
        <f>IF($D6="Spring Pea after Cereal",H6*'Prices_Yields&amp;SeedInputs'!J$12,0)</f>
        <v>0</v>
      </c>
      <c r="CX6" s="1">
        <f>IF($D6="Forage Crop-St. John Area",H6*'Prices_Yields&amp;SeedInputs'!J$13,0)</f>
        <v>0</v>
      </c>
      <c r="CY6" s="1">
        <f>IF($D6="Forage Crop-Genesee Area",H6*'Prices_Yields&amp;SeedInputs'!J$14,0)</f>
        <v>0</v>
      </c>
      <c r="CZ6" s="1">
        <f>IF($D6="Livestock Grazing",H6*'Prices_Yields&amp;SeedInputs'!J$15,0)</f>
        <v>0</v>
      </c>
      <c r="DA6" s="1">
        <f>IF($D6="SW Winter Wheat after Cereal",H6*'Prices_Yields&amp;SeedInputs'!J$16,0)</f>
        <v>0</v>
      </c>
      <c r="DB6" s="1">
        <f>IF($D6="SW Winter Wheat after Fallow",H6*'Prices_Yields&amp;SeedInputs'!J$17,0)</f>
        <v>0</v>
      </c>
      <c r="DC6" s="1">
        <f>IF($D6="Chem-Fallow",H6*'Prices_Yields&amp;SeedInputs'!J$18,0)</f>
        <v>0</v>
      </c>
      <c r="DD6" s="1">
        <f>IF($D6="Flex-Fallow",H6*'Prices_Yields&amp;SeedInputs'!J$19,0)</f>
        <v>0</v>
      </c>
      <c r="DE6" s="1">
        <f>IF($D6="Spring Barley",H6*'Prices_Yields&amp;SeedInputs'!J$20,0)</f>
        <v>0</v>
      </c>
      <c r="DF6" s="1">
        <f>IF($D6="Roundup Ready Spring Canola",H6*'Prices_Yields&amp;SeedInputs'!J$21,0)</f>
        <v>0</v>
      </c>
      <c r="DG6" s="1">
        <f>IF($D6="Spring Canola",H6*'Prices_Yields&amp;SeedInputs'!J$22,0)</f>
        <v>0</v>
      </c>
      <c r="DH6" s="1">
        <f>IF($D6="Spring Lentils",H6*'Prices_Yields&amp;SeedInputs'!J$23,0)</f>
        <v>0</v>
      </c>
      <c r="DI6" s="1">
        <f>IF($D6="SW Spring Wheat",H6*'Prices_Yields&amp;SeedInputs'!J$24,0)</f>
        <v>0</v>
      </c>
      <c r="DJ6" s="1">
        <f>IF($D6="HR Winter Wheat",H6*'Prices_Yields&amp;SeedInputs'!J$25,0)</f>
        <v>0</v>
      </c>
      <c r="DK6" s="1">
        <f>IF($D6="Winter Pea",H6*'Prices_Yields&amp;SeedInputs'!J$26,0)</f>
        <v>0</v>
      </c>
      <c r="DL6" s="1">
        <f>IF($D6="Winter Canola",H6*'Prices_Yields&amp;SeedInputs'!J$27,0)</f>
        <v>5000</v>
      </c>
      <c r="DM6" s="322">
        <f>IF($D6="Forage Crop-Soil Builder Blend",H6*'Prices_Yields&amp;SeedInputs'!J$28,0)</f>
        <v>0</v>
      </c>
      <c r="DN6" s="1">
        <f>IF($D6="SW Winter Wheat after Spring Legume",$H6*SWWinterWheatAfterSpringLegume!$F$135,0)</f>
        <v>0</v>
      </c>
      <c r="DO6" s="1">
        <f>IF($D6="SW Winter Wheat after Forage Crop",$H6*SWWinterWheatAfterForageCrop!$F$135,0)</f>
        <v>0</v>
      </c>
      <c r="DP6" s="1">
        <f>IF($D6="DN Spring Wheat after Spring Legume",$H6*DNSpringWinterAfterSpringLegume!$F$135,0)</f>
        <v>0</v>
      </c>
      <c r="DQ6" s="1">
        <f>IF($D6="DN Spring Wheat after Forage Crop",$H6*DNSpringWheatAfterForageCrop!$F$135,0)</f>
        <v>0</v>
      </c>
      <c r="DR6" s="1">
        <f>IF($D6="DN Spring Wheat after Winter Crop",$H6*DNSpringWheatAfterWinterCrop!$F$135,0)</f>
        <v>0</v>
      </c>
      <c r="DS6" s="1">
        <f>IF($D6="Chickpea after Forage Crop",$H6*ChickpeaAfterForageCrop!$F$135,0)</f>
        <v>0</v>
      </c>
      <c r="DT6" s="1">
        <f>IF($D6="Chickpea after Cereal",$H6*ChickpeaAfterCereal!$F$135,0)</f>
        <v>0</v>
      </c>
      <c r="DU6" s="1">
        <f>IF($D6="Spring Pea after Cereal",$H6*SpringPeaAfterCereal!$F$135,0)</f>
        <v>0</v>
      </c>
      <c r="DV6" s="1">
        <f>IF($D6="Forage Crop-St. John Area",$H6*'ForageCrop-StJohn'!$F$135,0)</f>
        <v>0</v>
      </c>
      <c r="DW6" s="1">
        <f>IF($D6="Forage Crop-Genesee Area",$H6*'ForageCrop-Genesee'!$F$135,0)</f>
        <v>0</v>
      </c>
      <c r="DX6" s="1">
        <f>IF($D6="Livestock Grazing",$H6*LivestockGrazing!$F$135,0)</f>
        <v>0</v>
      </c>
      <c r="DY6" s="1">
        <f>IF($D6="SW Winter Wheat after Cereal",$H6*SWWinterWheatafterCereal!$F$135,0)</f>
        <v>0</v>
      </c>
      <c r="DZ6" s="1">
        <f>IF($D6="SW Winter Wheat after Fallow",$H6*SWWinterWheatAfterFallow!$F$135,0)</f>
        <v>0</v>
      </c>
      <c r="EA6" s="1">
        <f>IF($D6="Chem-Fallow",$H6*'Chem-Fallow'!$F$135,0)</f>
        <v>0</v>
      </c>
      <c r="EB6" s="1">
        <f>IF($D6="Flex-Fallow",$H6*'Flex-Fallow'!$F$135,0)</f>
        <v>0</v>
      </c>
      <c r="EC6" s="1">
        <f>IF($D6="Spring Barley",$H6*SpringBarley!$F$135,0)</f>
        <v>0</v>
      </c>
      <c r="ED6" s="1">
        <f>IF($D6="Roundup Ready Spring Canola",$H6*'SpringCanola_R-Ready'!$F$135,0)</f>
        <v>0</v>
      </c>
      <c r="EE6" s="1">
        <f>IF($D6="Spring Canola",$H6*SpringCanola!$F$135,0)</f>
        <v>0</v>
      </c>
      <c r="EF6" s="1">
        <f>IF($D6="Spring Lentils",$H6*SpringLentils!$F$135,0)</f>
        <v>0</v>
      </c>
      <c r="EG6" s="1">
        <f>IF($D6="SW Spring Wheat",$H6*SWSpringWheat!$F$135,0)</f>
        <v>0</v>
      </c>
      <c r="EH6" s="1">
        <f>IF($D6="HR Winter Wheat",$H6*HRWinterWheat!$F$135,0)</f>
        <v>0</v>
      </c>
      <c r="EI6" s="1">
        <f>IF($D6="Winter Pea",$H6*WinterPea!$F$135,0)</f>
        <v>0</v>
      </c>
      <c r="EJ6" s="1">
        <f>IF($D6="Winter Canola",$H6*WinterCanola!$F$135,0)</f>
        <v>24041.109476470603</v>
      </c>
      <c r="EK6" s="322">
        <f>IF($D6="Forage Crop-Soil Builder Blend",$H6*ForageCrop!$F$135,0)</f>
        <v>0</v>
      </c>
      <c r="EL6" s="1">
        <f>IF($D6="SW Winter Wheat after Spring Legume",$H6*SWWinterWheatAfterSpringLegume!$J$116,0)</f>
        <v>0</v>
      </c>
      <c r="EM6" s="1">
        <f>IF($D6="SW Winter Wheat after Forage Crop",$H6*SWWinterWheatAfterForageCrop!$J$116,0)</f>
        <v>0</v>
      </c>
      <c r="EN6" s="1">
        <f>IF($D6="DN Spring Wheat after Spring Legume",$H6*DNSpringWinterAfterSpringLegume!$J$116,0)</f>
        <v>0</v>
      </c>
      <c r="EO6" s="1">
        <f>IF($D6="DN Spring Wheat after Forage Crop",$H6*DNSpringWheatAfterForageCrop!$J$116,0)</f>
        <v>0</v>
      </c>
      <c r="EP6" s="1">
        <f>IF($D6="DN Spring Wheat after Winter Crop",$H6*DNSpringWheatAfterWinterCrop!$J$116,0)</f>
        <v>0</v>
      </c>
      <c r="EQ6" s="1">
        <f>IF($D6="Chickpea after Forage Crop",$H6*ChickpeaAfterForageCrop!$J$116,0)</f>
        <v>0</v>
      </c>
      <c r="ER6" s="1">
        <f>IF($D6="Chickpea after Cereal",$H6*ChickpeaAfterCereal!$J$116,0)</f>
        <v>0</v>
      </c>
      <c r="ES6" s="1">
        <f>IF($D6="Spring Pea after Cereal",$H6*SpringPeaAfterCereal!$J$116,0)</f>
        <v>0</v>
      </c>
      <c r="ET6" s="1">
        <f>IF($D6="Forage Crop-St. John Area",$H6*'ForageCrop-StJohn'!$J$116,0)</f>
        <v>0</v>
      </c>
      <c r="EU6" s="1">
        <f>IF($D6="Forage Crop-Genesee Area",$H6*'ForageCrop-Genesee'!$J$116,0)</f>
        <v>0</v>
      </c>
      <c r="EV6" s="1">
        <f>IF($D6="Livestock Grazing",$H6*LivestockGrazing!$J$116,0)</f>
        <v>0</v>
      </c>
      <c r="EW6" s="1">
        <f>IF($D6="SW Winter Wheat after Cereal",$H6*SWWinterWheatafterCereal!$J$116,0)</f>
        <v>0</v>
      </c>
      <c r="EX6" s="1">
        <f>IF($D6="SW Winter Wheat after Fallow",$H6*SWWinterWheatAfterFallow!$J$116,0)</f>
        <v>0</v>
      </c>
      <c r="EY6" s="1">
        <f>IF($D6="Chem-Fallow",$H6*'Chem-Fallow'!$J$116,0)</f>
        <v>0</v>
      </c>
      <c r="EZ6" s="1">
        <f>IF($D6="Flex-Fallow",$H6*'Flex-Fallow'!$J$116,0)</f>
        <v>0</v>
      </c>
      <c r="FA6" s="1">
        <f>IF($D6="Spring Barley",$H6*SpringBarley!$J$116,0)</f>
        <v>0</v>
      </c>
      <c r="FB6" s="1">
        <f>IF($D6="Roundup Ready Spring Canola",$H6*'SpringCanola_R-Ready'!$J$116,0)</f>
        <v>0</v>
      </c>
      <c r="FC6" s="1">
        <f>IF($D6="Spring Canola",$H6*SpringCanola!$J$116,0)</f>
        <v>0</v>
      </c>
      <c r="FD6" s="1">
        <f>IF($D6="Spring Lentils",$H6*SpringLentils!$J$116,0)</f>
        <v>0</v>
      </c>
      <c r="FE6" s="1">
        <f>IF($D6="SW Spring Wheat",$H6*SWSpringWheat!$J$116,0)</f>
        <v>0</v>
      </c>
      <c r="FF6" s="1">
        <f>IF($D6="HR Winter Wheat",$H6*HRWinterWheat!$J$116,0)</f>
        <v>0</v>
      </c>
      <c r="FG6" s="1">
        <f>IF($D6="Winter Pea",$H6*WinterPea!$J$116,0)</f>
        <v>0</v>
      </c>
      <c r="FH6" s="1">
        <f>IF($D6="Winter Canola",$H6*WinterCanola!$J$116,0)</f>
        <v>16129.930432071913</v>
      </c>
      <c r="FI6" s="322">
        <f>IF($D6="Forage Crop-Soil Builder Blend",$H6*ForageCrop!$J$116,0)</f>
        <v>0</v>
      </c>
      <c r="FJ6" s="1">
        <f>IF($D6="SW Winter Wheat after Spring Legume",$H6*SWWinterWheatAfterSpringLegume!$J$117,0)</f>
        <v>0</v>
      </c>
      <c r="FK6" s="1">
        <f>IF($D6="SW Winter Wheat after Forage Crop",$H6*SWWinterWheatAfterForageCrop!$J$117,0)</f>
        <v>0</v>
      </c>
      <c r="FL6" s="1">
        <f>IF($D6="DN Spring Wheat after Spring Legume",$H6*DNSpringWinterAfterSpringLegume!$J$117,0)</f>
        <v>0</v>
      </c>
      <c r="FM6" s="1">
        <f>IF($D6="DN Spring Wheat after Forage Crop",$H6*DNSpringWheatAfterForageCrop!$J$117,0)</f>
        <v>0</v>
      </c>
      <c r="FN6" s="1">
        <f>IF($D6="DN Spring Wheat after Winter Crop",$H6*DNSpringWheatAfterWinterCrop!$J$117,0)</f>
        <v>0</v>
      </c>
      <c r="FO6" s="1">
        <f>IF($D6="Chickpea after Forage Crop",$H6*ChickpeaAfterForageCrop!$J$117,0)</f>
        <v>0</v>
      </c>
      <c r="FP6" s="1">
        <f>IF($D6="Chickpea after Cereal",$H6*ChickpeaAfterCereal!$J$117,0)</f>
        <v>0</v>
      </c>
      <c r="FQ6" s="1">
        <f>IF($D6="Spring Pea after Cereal",$H6*SpringPeaAfterCereal!$J$117,0)</f>
        <v>0</v>
      </c>
      <c r="FR6" s="1">
        <f>IF($D6="Forage Crop-St. John Area",$H6*'ForageCrop-StJohn'!$J$117,0)</f>
        <v>0</v>
      </c>
      <c r="FS6" s="1">
        <f>IF($D6="Forage Crop-Genesee Area",$H6*'ForageCrop-Genesee'!$J$117,0)</f>
        <v>0</v>
      </c>
      <c r="FT6" s="1">
        <f>IF($D6="Livestock Grazing",$H6*LivestockGrazing!$J$117,0)</f>
        <v>0</v>
      </c>
      <c r="FU6" s="1">
        <f>IF($D6="SW Winter Wheat after Cereal",$H6*SWWinterWheatafterCereal!$J$117,0)</f>
        <v>0</v>
      </c>
      <c r="FV6" s="1">
        <f>IF($D6="SW Winter Wheat after Fallow",$H6*SWWinterWheatAfterFallow!$J$117,0)</f>
        <v>0</v>
      </c>
      <c r="FW6" s="1">
        <f>IF($D6="Chem-Fallow",$H6*'Chem-Fallow'!$J$117,0)</f>
        <v>0</v>
      </c>
      <c r="FX6" s="1">
        <f>IF($D6="Flex-Fallow",$H6*'Flex-Fallow'!$J$117,0)</f>
        <v>0</v>
      </c>
      <c r="FY6" s="1">
        <f>IF($D6="Spring Barley",$H6*SpringBarley!$J$117,0)</f>
        <v>0</v>
      </c>
      <c r="FZ6" s="1">
        <f>IF($D6="Roundup Ready Spring Canola",$H6*'SpringCanola_R-Ready'!$J$117,0)</f>
        <v>0</v>
      </c>
      <c r="GA6" s="1">
        <f>IF($D6="Spring Canola",$H6*SpringCanola!$J$117,0)</f>
        <v>0</v>
      </c>
      <c r="GB6" s="1">
        <f>IF($D6="Spring Lentils",$H6*SpringLentils!$J$117,0)</f>
        <v>0</v>
      </c>
      <c r="GC6" s="1">
        <f>IF($D6="SW Spring Wheat",$H6*SWSpringWheat!$J$117,0)</f>
        <v>0</v>
      </c>
      <c r="GD6" s="1">
        <f>IF($D6="HR Winter Wheat",$H6*HRWinterWheat!$J$117,0)</f>
        <v>0</v>
      </c>
      <c r="GE6" s="1">
        <f>IF($D6="Winter Pea",$H6*WinterPea!$J$117,0)</f>
        <v>0</v>
      </c>
      <c r="GF6" s="1">
        <f>IF($D6="Winter Canola",$H6*WinterCanola!$J$117,0)</f>
        <v>37921.401983080374</v>
      </c>
      <c r="GG6" s="322">
        <f>IF($D6="Forage Crop-Soil Builder Blend",$H6*ForageCrop!$J$117,0)</f>
        <v>0</v>
      </c>
      <c r="GH6" s="1">
        <f>IF($D6="SW Winter Wheat after Spring Legume",$H6*SWWinterWheatAfterSpringLegume!$J$118,0)</f>
        <v>0</v>
      </c>
      <c r="GI6" s="1">
        <f>IF($D6="SW Winter Wheat after Forage Crop",$H6*SWWinterWheatAfterForageCrop!$J$118,0)</f>
        <v>0</v>
      </c>
      <c r="GJ6" s="1">
        <f>IF($D6="DN Spring Wheat after Spring Legume",$H6*DNSpringWinterAfterSpringLegume!$J$118,0)</f>
        <v>0</v>
      </c>
      <c r="GK6" s="1">
        <f>IF($D6="DN Spring Wheat after Forage Crop",$H6*DNSpringWheatAfterForageCrop!$J$118,0)</f>
        <v>0</v>
      </c>
      <c r="GL6" s="1">
        <f>IF($D6="DN Spring Wheat after Winter Crop",$H6*DNSpringWheatAfterWinterCrop!$J$118,0)</f>
        <v>0</v>
      </c>
      <c r="GM6" s="1">
        <f>IF($D6="Chickpea after Forage Crop",$H6*ChickpeaAfterForageCrop!$J$118,0)</f>
        <v>0</v>
      </c>
      <c r="GN6" s="1">
        <f>IF($D6="Chickpea after Cereal",$H6*ChickpeaAfterCereal!$J$118,0)</f>
        <v>0</v>
      </c>
      <c r="GO6" s="1">
        <f>IF($D6="Spring Pea after Cereal",$H6*SpringPeaAfterCereal!$J$118,0)</f>
        <v>0</v>
      </c>
      <c r="GP6" s="1">
        <f>IF($D6="Forage Crop-St. John Area",$H6*'ForageCrop-StJohn'!$J$118,0)</f>
        <v>0</v>
      </c>
      <c r="GQ6" s="1">
        <f>IF($D6="Forage Crop-Genesee Area",$H6*'ForageCrop-Genesee'!$J$118,0)</f>
        <v>0</v>
      </c>
      <c r="GR6" s="1">
        <f>IF($D6="Livestock Grazing",$H6*LivestockGrazing!$J$118,0)</f>
        <v>0</v>
      </c>
      <c r="GS6" s="1">
        <f>IF($D6="SW Winter Wheat after Cereal",$H6*SWWinterWheatafterCereal!$J$118,0)</f>
        <v>0</v>
      </c>
      <c r="GT6" s="1">
        <f>IF($D6="SW Winter Wheat after Fallow",$H6*SWWinterWheatAfterFallow!$J$118,0)</f>
        <v>0</v>
      </c>
      <c r="GU6" s="1">
        <f>IF($D6="Chem-Fallow",$H6*'Chem-Fallow'!$J$118,0)</f>
        <v>0</v>
      </c>
      <c r="GV6" s="1">
        <f>IF($D6="Flex-Fallow",$H6*'Flex-Fallow'!$J$118,0)</f>
        <v>0</v>
      </c>
      <c r="GW6" s="1">
        <f>IF($D6="Spring Barley",$H6*SpringBarley!$J$118,0)</f>
        <v>0</v>
      </c>
      <c r="GX6" s="1">
        <f>IF($D6="Roundup Ready Spring Canola",$H6*'SpringCanola_R-Ready'!$J$118,0)</f>
        <v>0</v>
      </c>
      <c r="GY6" s="1">
        <f>IF($D6="Spring Canola",$H6*SpringCanola!$J$118,0)</f>
        <v>0</v>
      </c>
      <c r="GZ6" s="1">
        <f>IF($D6="Spring Lentils",$H6*SpringLentils!$J$118,0)</f>
        <v>0</v>
      </c>
      <c r="HA6" s="1">
        <f>IF($D6="SW Spring Wheat",$H6*SWSpringWheat!$J$118,0)</f>
        <v>0</v>
      </c>
      <c r="HB6" s="1">
        <f>IF($D6="HR Winter Wheat",$H6*HRWinterWheat!$J$118,0)</f>
        <v>0</v>
      </c>
      <c r="HC6" s="1">
        <f>IF($D6="Winter Pea",$H6*WinterPea!$J$118,0)</f>
        <v>0</v>
      </c>
      <c r="HD6" s="1">
        <f>IF($D6="Winter Canola",$H6*WinterCanola!$J$118,0)</f>
        <v>17812.464405038594</v>
      </c>
      <c r="HE6" s="322">
        <f>IF($D6="Forage Crop-Soil Builder Blend",$H6*ForageCrop!$J$118,0)</f>
        <v>0</v>
      </c>
      <c r="HF6" s="1">
        <f>IF($D6="SW Winter Wheat after Spring Legume",($H6*(SUM(SWWinterWheatAfterSpringLegume!$E$9:$E$16)+SWWinterWheatAfterSpringLegume!$G$16))/2000,0)</f>
        <v>0</v>
      </c>
      <c r="HG6" s="1">
        <f>IF($D6="SW Winter Wheat after Forage Crop",($H6*(SUM(SWWinterWheatAfterForageCrop!$E$9:$E$16)+SWWinterWheatAfterForageCrop!$G$17))/2000,0)</f>
        <v>0</v>
      </c>
      <c r="HH6" s="1">
        <f>IF($D6="DN Spring Wheat after Spring Legume",($H6*(SUM(DNSpringWinterAfterSpringLegume!$E$9:$E$16)+DNSpringWinterAfterSpringLegume!$G$16))/2000,0)</f>
        <v>0</v>
      </c>
      <c r="HI6" s="1">
        <f>IF($D6="DN Spring Wheat after Forage Crop",($H6*(SUM(DNSpringWheatAfterForageCrop!$E$9:$E$16)+DNSpringWheatAfterForageCrop!$G$14))/2000,0)</f>
        <v>0</v>
      </c>
      <c r="HJ6" s="1">
        <f>IF($D6="DN Spring Wheat after Winter Crop",($H6*(SUM(DNSpringWheatAfterWinterCrop!$E$9:$E$16)+DNSpringWheatAfterWinterCrop!$G$16))/2000,0)</f>
        <v>0</v>
      </c>
      <c r="HK6" s="1">
        <f>IF($D6="Chickpea after Forage Crop",($H6*(SUM(ChickpeaAfterForageCrop!$E$9:$E$16)+ChickpeaAfterForageCrop!$G$14))/2000,0)</f>
        <v>0</v>
      </c>
      <c r="HL6" s="1">
        <f>IF($D6="Chickpea after Cereal",($H6*(SUM(ChickpeaAfterCereal!$E$9:$E$16)+ChickpeaAfterCereal!$G$14))/2000,0)</f>
        <v>0</v>
      </c>
      <c r="HM6" s="1">
        <f>IF($D6="Spring Pea after Cereal",($H6*(SUM(SpringPeaAfterCereal!$E$9:$E$16)+SpringPeaAfterCereal!$G$14))/2000,0)</f>
        <v>0</v>
      </c>
      <c r="HN6" s="1">
        <f>IF($D6="Forage Crop-St. John Area",($H6*(SUM('ForageCrop-StJohn'!$E$9:$E$16)+'ForageCrop-StJohn'!$G$14))/2000,0)</f>
        <v>0</v>
      </c>
      <c r="HO6" s="1">
        <f>IF($D6="Forage Crop-Genesee Area",($H6*(SUM('ForageCrop-Genesee'!$E$9:$E$16)+'ForageCrop-Genesee'!$G$14))/2000,0)</f>
        <v>0</v>
      </c>
      <c r="HP6" s="1">
        <f>IF($D6="Livestock Grazing",($H6*(SUM(LivestockGrazing!$E$9:$E$16)+LivestockGrazing!$G$14))/2000,0)</f>
        <v>0</v>
      </c>
      <c r="HQ6" s="1">
        <f>IF($D6="SW Winter Wheat after Cereal",($H6*(SUM(SWWinterWheatafterCereal!$E$9:$E$16)+SWWinterWheatafterCereal!$G$16))/2000,0)</f>
        <v>0</v>
      </c>
      <c r="HR6" s="1">
        <f>IF($D6="SW Winter Wheat after Fallow",($H6*(SUM(SWWinterWheatAfterFallow!$E$9:$E$16)+SWWinterWheatAfterFallow!$G$14))/2000,0)</f>
        <v>0</v>
      </c>
      <c r="HS6" s="1">
        <f>IF($D6="Chem-Fallow",($H6*(SUM('Chem-Fallow'!$E$9:$E$16)+'Chem-Fallow'!$G$16))/2000,0)</f>
        <v>0</v>
      </c>
      <c r="HT6" s="1">
        <f>IF($D6="Flex-Fallow",($H6*(SUM('Flex-Fallow'!$E$9:$E$16)+'Flex-Fallow'!$G$16))/2000,0)</f>
        <v>0</v>
      </c>
      <c r="HU6" s="1">
        <f>IF($D6="Spring Barley",($H6*(SUM(SpringBarley!$E$9:$E$16)+SpringBarley!$G$16))/2000,0)</f>
        <v>0</v>
      </c>
      <c r="HV6" s="1">
        <f>IF($D6="Roundup Ready Spring Canola",($H6*(SUM('SpringCanola_R-Ready'!$E$9:$E$16)+'SpringCanola_R-Ready'!$G$14))/2000,0)</f>
        <v>0</v>
      </c>
      <c r="HW6" s="1">
        <f>IF($D6="Spring Canola",($H6*(SUM(SpringCanola!$E$9:$E$16)+SpringCanola!$G$14))/2000,0)</f>
        <v>0</v>
      </c>
      <c r="HX6" s="1">
        <f>IF($D6="Spriing Lentils",($H6*(SUM(SpringLentils!$E$9:$E$16)+SpringLentils!$G$14))/2000,0)</f>
        <v>0</v>
      </c>
      <c r="HY6" s="1">
        <f>IF($D6="SW Spring Wheat",($H6*(SUM(SWSpringWheat!$E$9:$E$16)+SWSpringWheat!$G$18))/2000,0)</f>
        <v>0</v>
      </c>
      <c r="HZ6" s="1">
        <f>IF($D6="HR Winter Wheat",($H6*(SUM(HRWinterWheat!$E$9:$E$16)+HRWinterWheat!$G$16))/2000,0)</f>
        <v>0</v>
      </c>
      <c r="IA6" s="1">
        <f>IF($D6="Winter Pea",($H6*(SUM(WinterPea!$E$9:$E$16)+WinterPea!$G$14))/2000,0)</f>
        <v>0</v>
      </c>
      <c r="IB6" s="1">
        <f>IF($D6="Winter Canola",($H6*(SUM(WinterCanola!$E$9:$E$16)+WinterCanola!$G$14))/2000,0)</f>
        <v>60.069921874999999</v>
      </c>
      <c r="IC6" s="322">
        <f>IF($D6="Forage Crop-Soil Builder Blend",($H6*(SUM(ForageCrop!$E$9:$E$16)+ForageCrop!$G$14))/2000,0)</f>
        <v>0</v>
      </c>
      <c r="ID6" s="1">
        <f>IF($D6="SW Winter Wheat after Spring Legume",$H6*SWWinterWheatAfterSpringLegume!$G$62,0)</f>
        <v>0</v>
      </c>
      <c r="IE6" s="1">
        <f>IF($D6="SW Winter Wheat after Forage Crop",$H6*SWWinterWheatAfterForageCrop!$G$62,0)</f>
        <v>0</v>
      </c>
      <c r="IF6" s="1">
        <f>IF($D6="DN Spring Wheat after Spring Legume",$H6*DNSpringWinterAfterSpringLegume!$G$62,0)</f>
        <v>0</v>
      </c>
      <c r="IG6" s="1">
        <f>IF($D6="DN Spring Wheat after Forage Crop",$H6*DNSpringWheatAfterForageCrop!$G$62,0)</f>
        <v>0</v>
      </c>
      <c r="IH6" s="1">
        <f>IF($D6="DN Spring Wheat after Winter Crop",$H6*DNSpringWheatAfterWinterCrop!$G$62,0)</f>
        <v>0</v>
      </c>
      <c r="II6" s="1">
        <f>IF($D6="Chickpea after Forage Crop",$H6*ChickpeaAfterForageCrop!$G$62,0)</f>
        <v>0</v>
      </c>
      <c r="IJ6" s="1">
        <f>IF($D6="Chickpea after Cereal",$H6*ChickpeaAfterCereal!$G$62,0)</f>
        <v>0</v>
      </c>
      <c r="IK6" s="1">
        <f>IF($D6="Spring Pea after Cereal",$H6*SpringPeaAfterCereal!$G$62,0)</f>
        <v>0</v>
      </c>
      <c r="IL6" s="1">
        <f>IF($D6="Forage Crop-St. John Area",$H6*'ForageCrop-StJohn'!$G$62,0)</f>
        <v>0</v>
      </c>
      <c r="IM6" s="1">
        <f>IF($D6="Forage Crop-Genesee Area",$H6*'ForageCrop-Genesee'!$G$62,0)</f>
        <v>0</v>
      </c>
      <c r="IN6" s="1">
        <f>IF($D6="Livestock Grazing",$H6*LivestockGrazing!$G$62,0)</f>
        <v>0</v>
      </c>
      <c r="IO6" s="1">
        <f>IF($D6="SW Winter Wheat after Cereal",$H6*SWWinterWheatafterCereal!$G$62,0)</f>
        <v>0</v>
      </c>
      <c r="IP6" s="1">
        <f>IF($D6="SW Winter Wheat after Fallow",$H6*SWWinterWheatAfterFallow!$G$62,0)</f>
        <v>0</v>
      </c>
      <c r="IQ6" s="1">
        <f>IF($D6="Chem-Fallow",$H6*'Chem-Fallow'!$G$62,0)</f>
        <v>0</v>
      </c>
      <c r="IR6" s="1">
        <f>IF($D6="Flex-Fallow",$H6*'Flex-Fallow'!$G$62,0)</f>
        <v>0</v>
      </c>
      <c r="IS6" s="1">
        <f>IF($D6="Spring Barley",$H6*SpringBarley!$G$62,0)</f>
        <v>0</v>
      </c>
      <c r="IT6" s="1">
        <f>IF($D6="Roundup Ready Spring Canola",$H6*'SpringCanola_R-Ready'!$G$62,0)</f>
        <v>0</v>
      </c>
      <c r="IU6" s="1">
        <f>IF($D6="Spring Canola",$H6*SpringCanola!$G$62,0)</f>
        <v>0</v>
      </c>
      <c r="IV6" s="1">
        <f>IF($D6="Spriing Lentils",$H6*SpringLentils!$G$62,0)</f>
        <v>0</v>
      </c>
      <c r="IW6" s="1">
        <f>IF($D6="SW Spring Wheat",$H6*SWSpringWheat!$G$62,0)</f>
        <v>0</v>
      </c>
      <c r="IX6" s="1">
        <f>IF($D6="HR Winter Wheat",$H6*HRWinterWheat!$G$62,0)</f>
        <v>0</v>
      </c>
      <c r="IY6" s="1">
        <f>IF($D6="Winter Pea",$H6*WinterPea!$G$62,0)</f>
        <v>0</v>
      </c>
      <c r="IZ6" s="1">
        <f>IF($D6="Winter Canola",$H6*+WinterCanola!$G$62,0)</f>
        <v>598.4375</v>
      </c>
      <c r="JA6" s="1">
        <f>IF($D6="Forage Crop-Soil Builder Blend",$H6*ForageCrop!$G$62,0)</f>
        <v>0</v>
      </c>
      <c r="JB6" s="1">
        <f>IF($D6="SW Winter Wheat after Spring Legume",$H6*'Prices_Yields&amp;SeedInputs'!E5,0)</f>
        <v>0</v>
      </c>
      <c r="JC6" s="1">
        <f>IF($D6="SW Winter Wheat after Forage Crop",$H6*'Prices_Yields&amp;SeedInputs'!E6,0)</f>
        <v>0</v>
      </c>
      <c r="JD6" s="1">
        <f>IF($D6="DN Spring Wheat after Spring Legume",$H6*'Prices_Yields&amp;SeedInputs'!E$7,0)</f>
        <v>0</v>
      </c>
      <c r="JE6" s="1">
        <f>IF($D6="DN Spring Wheat after Forage Crop",$H6*'Prices_Yields&amp;SeedInputs'!E$8,0)</f>
        <v>0</v>
      </c>
      <c r="JF6" s="1">
        <f>IF($D6="DN Spring Wheat after Winter Crop",$H6*'Prices_Yields&amp;SeedInputs'!E$9,0)</f>
        <v>0</v>
      </c>
      <c r="JG6" s="1">
        <f>IF($D6="Chickpea after Forage Crop",$H6*'Prices_Yields&amp;SeedInputs'!E$10,0)</f>
        <v>0</v>
      </c>
      <c r="JH6" s="1">
        <f>IF($D6="Chickpea after Cereal",$H6*'Prices_Yields&amp;SeedInputs'!E$11,0)</f>
        <v>0</v>
      </c>
      <c r="JI6" s="1">
        <f>IF($D6="Spring Pea after Cereal",$H6*'Prices_Yields&amp;SeedInputs'!E$12,0)</f>
        <v>0</v>
      </c>
      <c r="JJ6" s="1">
        <f>IF($D6="Forage Crop-St. John Area",$H6*'Prices_Yields&amp;SeedInputs'!E$13,0)</f>
        <v>0</v>
      </c>
      <c r="JK6" s="1">
        <f>IF($D6="Forage Crop-Genesee Area",$H6*'Prices_Yields&amp;SeedInputs'!E$14,0)</f>
        <v>0</v>
      </c>
      <c r="JL6" s="1">
        <f>IF($D6="Livestock Grazing",$H6*'Prices_Yields&amp;SeedInputs'!E$15,0)</f>
        <v>0</v>
      </c>
      <c r="JM6" s="1">
        <f>IF($D6="SW Winter Wheat after Cereal",$H6*'Prices_Yields&amp;SeedInputs'!E$16,0)</f>
        <v>0</v>
      </c>
      <c r="JN6" s="1">
        <f>IF($D6="SW Winter Wheat after Fallow",$H6*'Prices_Yields&amp;SeedInputs'!E$17,0)</f>
        <v>0</v>
      </c>
      <c r="JO6" s="1">
        <f>IF($D6="Chem-Fallow",$H6*'Prices_Yields&amp;SeedInputs'!E$18,0)</f>
        <v>0</v>
      </c>
      <c r="JP6" s="1">
        <f>IF($D6="Flex-Fallow",$H6*'Prices_Yields&amp;SeedInputs'!E$19,0)</f>
        <v>0</v>
      </c>
      <c r="JQ6" s="1">
        <f>IF($D6="Spring Barley",$H6*'Prices_Yields&amp;SeedInputs'!E$20,0)</f>
        <v>0</v>
      </c>
      <c r="JR6" s="1">
        <f>IF($D6="Roundup Ready Spring Canola",$H6*'Prices_Yields&amp;SeedInputs'!E$21,0)</f>
        <v>0</v>
      </c>
      <c r="JS6" s="1">
        <f>IF($D6="Spring Canola",$H6*'Prices_Yields&amp;SeedInputs'!E$22,0)</f>
        <v>0</v>
      </c>
      <c r="JT6" s="1">
        <f>IF($D6="Spriing Lentils",$H6*'Prices_Yields&amp;SeedInputs'!E$23,0)</f>
        <v>0</v>
      </c>
      <c r="JU6" s="1">
        <f>IF($D6="SW Spring Wheat",$H6*'Prices_Yields&amp;SeedInputs'!E$24,0)</f>
        <v>0</v>
      </c>
      <c r="JV6" s="1">
        <f>IF($D6="HR Winter Wheat",$H6*'Prices_Yields&amp;SeedInputs'!E$25,0)</f>
        <v>0</v>
      </c>
      <c r="JW6" s="1">
        <f>IF($D6="Winter Pea",$H6*'Prices_Yields&amp;SeedInputs'!E$26,0)</f>
        <v>0</v>
      </c>
      <c r="JX6" s="1">
        <f>IF($D6="Winter Canola",$H6*'Prices_Yields&amp;SeedInputs'!E$27,0)</f>
        <v>2000000</v>
      </c>
      <c r="JY6" s="1">
        <f>IF($D6="Forage Crop-Soil Builder Blend",$H6*'Prices_Yields&amp;SeedInputs'!E$28,0)</f>
        <v>0</v>
      </c>
    </row>
    <row r="7" spans="1:288" ht="20" customHeight="1">
      <c r="A7" s="3"/>
      <c r="B7" s="621"/>
      <c r="C7" s="43">
        <v>3</v>
      </c>
      <c r="D7" s="135" t="s">
        <v>379</v>
      </c>
      <c r="E7" s="136">
        <v>0.2</v>
      </c>
      <c r="F7" s="303">
        <f>IF(D7="Livestock Grazing",0,E7)</f>
        <v>0.2</v>
      </c>
      <c r="G7" s="148">
        <f>IF(D7="Livestock Grazing",0,$I$2*E7)</f>
        <v>500</v>
      </c>
      <c r="H7" s="306">
        <f>$I$2*E7</f>
        <v>500</v>
      </c>
      <c r="I7" s="140">
        <f>SUM(AT7:BQ7)</f>
        <v>-32.821722407225366</v>
      </c>
      <c r="J7" s="140"/>
      <c r="M7" s="197"/>
      <c r="N7" s="5" t="s">
        <v>113</v>
      </c>
      <c r="O7" s="200">
        <v>1111.7235331632655</v>
      </c>
      <c r="P7" s="200">
        <f>SUM('Farm and Rotation Setup'!EL5:FI9)/MachineAssumptions!$D$30</f>
        <v>2004.4710032124131</v>
      </c>
      <c r="Q7" s="197">
        <f t="shared" si="0"/>
        <v>0.80303010903164929</v>
      </c>
      <c r="R7" s="197"/>
      <c r="S7" s="3"/>
      <c r="T7" s="3"/>
      <c r="V7" s="1">
        <f>IF($D7="SW Winter Wheat after Spring Legume",$H7,0)</f>
        <v>0</v>
      </c>
      <c r="W7" s="1">
        <f>IF($D7="SW Winter Wheat after Forage Crop",$H7,0)</f>
        <v>0</v>
      </c>
      <c r="X7" s="1">
        <f>IF($D7="DN Spring Wheat after Spring Legume",$H7,0)</f>
        <v>0</v>
      </c>
      <c r="Y7" s="1">
        <f>IF($D7="DN Spring Wheat after Forage Crop",$H7,0)</f>
        <v>0</v>
      </c>
      <c r="Z7" s="1">
        <f>IF($D7="DN Spring Wheat after Winter Crop",$H7,0)</f>
        <v>0</v>
      </c>
      <c r="AA7" s="1">
        <f>IF($D7="Chickpea after Forage Crop",$H7,0)</f>
        <v>0</v>
      </c>
      <c r="AB7" s="1">
        <f>IF($D7="Chickpea after Cereal",$H7,0)</f>
        <v>500</v>
      </c>
      <c r="AC7" s="1">
        <f>IF($D7="Spring Pea after Cereal",$H7,0)</f>
        <v>0</v>
      </c>
      <c r="AD7" s="1">
        <f>IF($D7="Forage Crop-St. John Area",$H7,0)</f>
        <v>0</v>
      </c>
      <c r="AE7" s="1">
        <f>IF($D7="Forage Crop-Genesee Area",$H7,0)</f>
        <v>0</v>
      </c>
      <c r="AF7" s="1">
        <f>IF($D7="Livestock Grazing",$H7,0)</f>
        <v>0</v>
      </c>
      <c r="AG7" s="1">
        <f>IF($D7="SW Winter Wheat after Cereal",$H7,0)</f>
        <v>0</v>
      </c>
      <c r="AH7" s="1">
        <f>IF($D7="SW Winter Wheat after Fallow",$H7,0)</f>
        <v>0</v>
      </c>
      <c r="AI7" s="1">
        <f>IF($D7="Chem-Fallow",$H7,0)</f>
        <v>0</v>
      </c>
      <c r="AJ7" s="1">
        <f>IF($D7="Flex-Fallow",$H7,0)</f>
        <v>0</v>
      </c>
      <c r="AK7" s="1">
        <f>IF($D7="Spring Barley",$H7,0)</f>
        <v>0</v>
      </c>
      <c r="AL7" s="1">
        <f>IF($D7="Roundup Ready Spring Canola",$H7,0)</f>
        <v>0</v>
      </c>
      <c r="AM7" s="1">
        <f>IF($D7="Spring Canola",$H7,0)</f>
        <v>0</v>
      </c>
      <c r="AN7" s="1">
        <f>IF($D7="Spring Lentils",$H7,0)</f>
        <v>0</v>
      </c>
      <c r="AO7" s="1">
        <f>IF($D7="SW Spring Wheat",$H7,0)</f>
        <v>0</v>
      </c>
      <c r="AP7" s="1">
        <f>IF($D7="HR Winter Wheat",$H7,0)</f>
        <v>0</v>
      </c>
      <c r="AQ7" s="1">
        <f>IF($D7="Winter Pea",$H7,0)</f>
        <v>0</v>
      </c>
      <c r="AR7" s="1">
        <f>IF($D7="Winter Canola",$H7,0)</f>
        <v>0</v>
      </c>
      <c r="AS7" s="322">
        <f>IF($D7="Forage Crop-Soil Builder Blend",$H7,0)</f>
        <v>0</v>
      </c>
      <c r="AT7" s="1">
        <f>IF($D7="SW Winter Wheat after Spring Legume",SWWinterWheatAfterSpringLegume!$F$138,0)</f>
        <v>0</v>
      </c>
      <c r="AU7" s="1">
        <f>IF($D7="SW Winter Wheat after Forage Crop",SWWinterWheatAfterForageCrop!$F$138,0)</f>
        <v>0</v>
      </c>
      <c r="AV7" s="1">
        <f>IF($D7="DN Spring Wheat after Spring Legume",DNSpringWinterAfterSpringLegume!$F$138,0)</f>
        <v>0</v>
      </c>
      <c r="AW7" s="1">
        <f>IF($D7="DN Spring Wheat after Forage Crop",DNSpringWheatAfterForageCrop!$F$138,0)</f>
        <v>0</v>
      </c>
      <c r="AX7" s="1">
        <f>IF($D7="DN Spring Wheat after Winter Crop",DNSpringWheatAfterWinterCrop!$F$138,0)</f>
        <v>0</v>
      </c>
      <c r="AY7" s="1">
        <f>IF($D7="Chickpea after Forage Crop",ChickpeaAfterForageCrop!$F$138,0)</f>
        <v>0</v>
      </c>
      <c r="AZ7" s="1">
        <f>IF($D7="Chickpea after Cereal",ChickpeaAfterCereal!$F$138,0)</f>
        <v>-32.821722407225366</v>
      </c>
      <c r="BA7" s="1">
        <f>IF($D7="Spring Pea after Cereal",SpringPeaAfterCereal!$F$138,0)</f>
        <v>0</v>
      </c>
      <c r="BB7" s="1">
        <f>IF($D7="Forage Crop-St. John Area",'ForageCrop-StJohn'!$F$138,0)</f>
        <v>0</v>
      </c>
      <c r="BC7" s="1">
        <f>IF($D7="Forage Crop-Genesee Area",'ForageCrop-Genesee'!$F$138,0)</f>
        <v>0</v>
      </c>
      <c r="BD7" s="1">
        <f>IF($D7="Livestock Grazing",LivestockGrazing!$F$138,0)</f>
        <v>0</v>
      </c>
      <c r="BE7" s="1">
        <f>IF($D7="SW Winter Wheat after Cereal",SWWinterWheatafterCereal!$F$138,0)</f>
        <v>0</v>
      </c>
      <c r="BF7" s="1">
        <f>IF($D7="SW Winter Wheat after Fallow",SWWinterWheatAfterFallow!$F$138,0)</f>
        <v>0</v>
      </c>
      <c r="BG7" s="1">
        <f>IF($D7="Chem-Fallow",'Chem-Fallow'!$F$138,0)</f>
        <v>0</v>
      </c>
      <c r="BH7" s="1">
        <f>IF($D7="Flex-Fallow",'Flex-Fallow'!$F$138,0)</f>
        <v>0</v>
      </c>
      <c r="BI7" s="1">
        <f>IF($D7="Spring Barley",SpringBarley!$F$138,0)</f>
        <v>0</v>
      </c>
      <c r="BJ7" s="1">
        <f>IF($D7="Roundup Ready Spring Canola",'SpringCanola_R-Ready'!$F$138,0)</f>
        <v>0</v>
      </c>
      <c r="BK7" s="1">
        <f>IF($D7="Spring Canola",SpringCanola!$F$138,0)</f>
        <v>0</v>
      </c>
      <c r="BL7" s="1">
        <f>IF($D7="Spring Lentils",SpringLentils!$F$138,0)</f>
        <v>0</v>
      </c>
      <c r="BM7" s="1">
        <f>IF($D7="SW Spring Wheat",SWSpringWheat!$F$138,0)</f>
        <v>0</v>
      </c>
      <c r="BN7" s="1">
        <f>IF($D7="HR Winter Wheat",HRWinterWheat!$F$138,0)</f>
        <v>0</v>
      </c>
      <c r="BO7" s="1">
        <f>IF($D7="Winter Pea",WinterPea!$F$138,0)</f>
        <v>0</v>
      </c>
      <c r="BP7" s="1">
        <f>IF($D7="Winter Canola",WinterCanola!$F$138,0)</f>
        <v>0</v>
      </c>
      <c r="BQ7" s="322">
        <f>IF($D7="Forage Crop-Soil Builder Blend",ForageCrop!$F$138,0)</f>
        <v>0</v>
      </c>
      <c r="BR7" s="1">
        <f>IF($D7="SW Winter Wheat after Spring Legume",H7*SWWinterWheatAfterSpringLegume!$F$138,0)</f>
        <v>0</v>
      </c>
      <c r="BS7" s="1">
        <f>IF($D7="SW Winter Wheat after Forage Crop",H7*SWWinterWheatAfterForageCrop!$F$138,0)</f>
        <v>0</v>
      </c>
      <c r="BT7" s="1">
        <f>IF($D7="DN Spring Wheat after Spring Legume",H7*DNSpringWinterAfterSpringLegume!$F$138,0)</f>
        <v>0</v>
      </c>
      <c r="BU7" s="1">
        <f>IF($D7="DN Spring Wheat after Forage Crop",H7*DNSpringWheatAfterForageCrop!$F$138,0)</f>
        <v>0</v>
      </c>
      <c r="BV7" s="1">
        <f>IF($D7="DN Spring Wheat after Winter Crop",H7*DNSpringWheatAfterWinterCrop!$F$138,0)</f>
        <v>0</v>
      </c>
      <c r="BW7" s="1">
        <f>IF($D7="Chickpea after Forage Crop",H7*ChickpeaAfterForageCrop!$F$138,0)</f>
        <v>0</v>
      </c>
      <c r="BX7" s="1">
        <f>IF($D7="Chickpea after Cereal",H7*ChickpeaAfterCereal!$F$138,0)</f>
        <v>-16410.861203612683</v>
      </c>
      <c r="BY7" s="1">
        <f>IF($D7="Spring Pea after Cereal",H7*SpringPeaAfterCereal!$F$138,0)</f>
        <v>0</v>
      </c>
      <c r="BZ7" s="1">
        <f>IF($D7="Forage Crop-St. John Area",H7*'ForageCrop-StJohn'!$F$138,0)</f>
        <v>0</v>
      </c>
      <c r="CA7" s="1">
        <f>IF($D7="Forage Crop-Genesee Area",H7*'ForageCrop-Genesee'!$F$138,0)</f>
        <v>0</v>
      </c>
      <c r="CB7" s="1">
        <f>IF($D7="Livestock Grazing",H7*LivestockGrazing!$F$138,0)</f>
        <v>0</v>
      </c>
      <c r="CC7" s="1">
        <f>IF($D7="SW Winter Wheat after Cereal",H7*SWWinterWheatafterCereal!$F$138,0)</f>
        <v>0</v>
      </c>
      <c r="CD7" s="1">
        <f>IF($D7="SW Winter Wheat after Fallow",H7*SWWinterWheatAfterFallow!$F$138,0)</f>
        <v>0</v>
      </c>
      <c r="CE7" s="1">
        <f>IF($D7="Chem-Fallow",H7*'Chem-Fallow'!$F$138,0)</f>
        <v>0</v>
      </c>
      <c r="CF7" s="1">
        <f>IF($D7="Flex-Fallow",H7*'Flex-Fallow'!$F$138,0)</f>
        <v>0</v>
      </c>
      <c r="CG7" s="1">
        <f>IF($D7="Spring Barley",H7*SpringBarley!$F$138,0)</f>
        <v>0</v>
      </c>
      <c r="CH7" s="1">
        <f>IF($D7="Roundup Ready Spring Canola",H7*'SpringCanola_R-Ready'!$F$138,0)</f>
        <v>0</v>
      </c>
      <c r="CI7" s="1">
        <f>IF($D7="Spring Canola",H7*SpringCanola!$F$138,0)</f>
        <v>0</v>
      </c>
      <c r="CJ7" s="1">
        <f>IF($D7="Spring Lentils",H7*SpringLentils!$F$138,0)</f>
        <v>0</v>
      </c>
      <c r="CK7" s="1">
        <f>IF($D7="SW Spring Wheat",H7*SWSpringWheat!$F$138,0)</f>
        <v>0</v>
      </c>
      <c r="CL7" s="1">
        <f>IF($D7="HR Winter Wheat",H7*HRWinterWheat!$F$138,0)</f>
        <v>0</v>
      </c>
      <c r="CM7" s="1">
        <f>IF($D7="Winter Pea",H7*WinterPea!$F$138,0)</f>
        <v>0</v>
      </c>
      <c r="CN7" s="1">
        <f>IF($D7="Winter Canola",H7*WinterCanola!$F$138,0)</f>
        <v>0</v>
      </c>
      <c r="CO7" s="322">
        <f>IF($D7="Forage Crop-Soil Builder Blend",H7*ForageCrop!$F$138,0)</f>
        <v>0</v>
      </c>
      <c r="CP7" s="1">
        <f>IF($D7="SW Winter Wheat after Spring Legume",H7*'Prices_Yields&amp;SeedInputs'!J$5,0)</f>
        <v>0</v>
      </c>
      <c r="CQ7" s="1">
        <f>IF($D7="SW Winter Wheat after Forage Crop",H7*'Prices_Yields&amp;SeedInputs'!J$6,0)</f>
        <v>0</v>
      </c>
      <c r="CR7" s="1">
        <f>IF($D7="DN Spring Wheat after Spring Legume",H7*'Prices_Yields&amp;SeedInputs'!J$7,0)</f>
        <v>0</v>
      </c>
      <c r="CS7" s="1">
        <f>IF($D7="DN Spring Wheat after Forage Crop",H7*'Prices_Yields&amp;SeedInputs'!J$8,0)</f>
        <v>0</v>
      </c>
      <c r="CT7" s="1">
        <f>IF($D7="DN Spring Wheat after Winter Crop",H7*'Prices_Yields&amp;SeedInputs'!J$9,0)</f>
        <v>0</v>
      </c>
      <c r="CU7" s="1">
        <f>IF($D7="Chickpea after Forage Crop",H7*'Prices_Yields&amp;SeedInputs'!J$10,0)</f>
        <v>0</v>
      </c>
      <c r="CV7" s="1">
        <f>IF($D7="Chickpea after Cereal",H7*'Prices_Yields&amp;SeedInputs'!J$11,0)</f>
        <v>65000</v>
      </c>
      <c r="CW7" s="1">
        <f>IF($D7="Spring Pea after Cereal",H7*'Prices_Yields&amp;SeedInputs'!J$12,0)</f>
        <v>0</v>
      </c>
      <c r="CX7" s="1">
        <f>IF($D7="Forage Crop-St. John Area",H7*'Prices_Yields&amp;SeedInputs'!J$13,0)</f>
        <v>0</v>
      </c>
      <c r="CY7" s="1">
        <f>IF($D7="Forage Crop-Genesee Area",H7*'Prices_Yields&amp;SeedInputs'!J$14,0)</f>
        <v>0</v>
      </c>
      <c r="CZ7" s="1">
        <f>IF($D7="Livestock Grazing",H7*'Prices_Yields&amp;SeedInputs'!J$15,0)</f>
        <v>0</v>
      </c>
      <c r="DA7" s="1">
        <f>IF($D7="SW Winter Wheat after Cereal",H7*'Prices_Yields&amp;SeedInputs'!J$16,0)</f>
        <v>0</v>
      </c>
      <c r="DB7" s="1">
        <f>IF($D7="SW Winter Wheat after Fallow",H7*'Prices_Yields&amp;SeedInputs'!J$17,0)</f>
        <v>0</v>
      </c>
      <c r="DC7" s="1">
        <f>IF($D7="Chem-Fallow",H7*'Prices_Yields&amp;SeedInputs'!J$18,0)</f>
        <v>0</v>
      </c>
      <c r="DD7" s="1">
        <f>IF($D7="Flex-Fallow",H7*'Prices_Yields&amp;SeedInputs'!J$19,0)</f>
        <v>0</v>
      </c>
      <c r="DE7" s="1">
        <f>IF($D7="Spring Barley",H7*'Prices_Yields&amp;SeedInputs'!J$20,0)</f>
        <v>0</v>
      </c>
      <c r="DF7" s="1">
        <f>IF($D7="Roundup Ready Spring Canola",H7*'Prices_Yields&amp;SeedInputs'!J$21,0)</f>
        <v>0</v>
      </c>
      <c r="DG7" s="1">
        <f>IF($D7="Spring Canola",H7*'Prices_Yields&amp;SeedInputs'!J$22,0)</f>
        <v>0</v>
      </c>
      <c r="DH7" s="1">
        <f>IF($D7="Spring Lentils",H7*'Prices_Yields&amp;SeedInputs'!J$23,0)</f>
        <v>0</v>
      </c>
      <c r="DI7" s="1">
        <f>IF($D7="SW Spring Wheat",H7*'Prices_Yields&amp;SeedInputs'!J$24,0)</f>
        <v>0</v>
      </c>
      <c r="DJ7" s="1">
        <f>IF($D7="HR Winter Wheat",H7*'Prices_Yields&amp;SeedInputs'!J$25,0)</f>
        <v>0</v>
      </c>
      <c r="DK7" s="1">
        <f>IF($D7="Winter Pea",H7*'Prices_Yields&amp;SeedInputs'!J$26,0)</f>
        <v>0</v>
      </c>
      <c r="DL7" s="1">
        <f>IF($D7="Winter Canola",H7*'Prices_Yields&amp;SeedInputs'!J$27,0)</f>
        <v>0</v>
      </c>
      <c r="DM7" s="322">
        <f>IF($D7="Forage Crop-Soil Builder Blend",H7*'Prices_Yields&amp;SeedInputs'!J$28,0)</f>
        <v>0</v>
      </c>
      <c r="DN7" s="1">
        <f>IF($D7="SW Winter Wheat after Spring Legume",$H7*SWWinterWheatAfterSpringLegume!$F$135,0)</f>
        <v>0</v>
      </c>
      <c r="DO7" s="1">
        <f>IF($D7="SW Winter Wheat after Forage Crop",$H7*SWWinterWheatAfterForageCrop!$F$135,0)</f>
        <v>0</v>
      </c>
      <c r="DP7" s="1">
        <f>IF($D7="DN Spring Wheat after Spring Legume",$H7*DNSpringWinterAfterSpringLegume!$F$135,0)</f>
        <v>0</v>
      </c>
      <c r="DQ7" s="1">
        <f>IF($D7="DN Spring Wheat after Forage Crop",$H7*DNSpringWheatAfterForageCrop!$F$135,0)</f>
        <v>0</v>
      </c>
      <c r="DR7" s="1">
        <f>IF($D7="DN Spring Wheat after Winter Crop",$H7*DNSpringWheatAfterWinterCrop!$F$135,0)</f>
        <v>0</v>
      </c>
      <c r="DS7" s="1">
        <f>IF($D7="Chickpea after Forage Crop",$H7*ChickpeaAfterForageCrop!$F$135,0)</f>
        <v>0</v>
      </c>
      <c r="DT7" s="1">
        <f>IF($D7="Chickpea after Cereal",$H7*ChickpeaAfterCereal!$F$135,0)</f>
        <v>11615.988157109057</v>
      </c>
      <c r="DU7" s="1">
        <f>IF($D7="Spring Pea after Cereal",$H7*SpringPeaAfterCereal!$F$135,0)</f>
        <v>0</v>
      </c>
      <c r="DV7" s="1">
        <f>IF($D7="Forage Crop-St. John Area",$H7*'ForageCrop-StJohn'!$F$135,0)</f>
        <v>0</v>
      </c>
      <c r="DW7" s="1">
        <f>IF($D7="Forage Crop-Genesee Area",$H7*'ForageCrop-Genesee'!$F$135,0)</f>
        <v>0</v>
      </c>
      <c r="DX7" s="1">
        <f>IF($D7="Livestock Grazing",$H7*LivestockGrazing!$F$135,0)</f>
        <v>0</v>
      </c>
      <c r="DY7" s="1">
        <f>IF($D7="SW Winter Wheat after Cereal",$H7*SWWinterWheatafterCereal!$F$135,0)</f>
        <v>0</v>
      </c>
      <c r="DZ7" s="1">
        <f>IF($D7="SW Winter Wheat after Fallow",$H7*SWWinterWheatAfterFallow!$F$135,0)</f>
        <v>0</v>
      </c>
      <c r="EA7" s="1">
        <f>IF($D7="Chem-Fallow",$H7*'Chem-Fallow'!$F$135,0)</f>
        <v>0</v>
      </c>
      <c r="EB7" s="1">
        <f>IF($D7="Flex-Fallow",$H7*'Flex-Fallow'!$F$135,0)</f>
        <v>0</v>
      </c>
      <c r="EC7" s="1">
        <f>IF($D7="Spring Barley",$H7*SpringBarley!$F$135,0)</f>
        <v>0</v>
      </c>
      <c r="ED7" s="1">
        <f>IF($D7="Roundup Ready Spring Canola",$H7*'SpringCanola_R-Ready'!$F$135,0)</f>
        <v>0</v>
      </c>
      <c r="EE7" s="1">
        <f>IF($D7="Spring Canola",$H7*SpringCanola!$F$135,0)</f>
        <v>0</v>
      </c>
      <c r="EF7" s="1">
        <f>IF($D7="Spring Lentils",$H7*SpringLentils!$F$135,0)</f>
        <v>0</v>
      </c>
      <c r="EG7" s="1">
        <f>IF($D7="SW Spring Wheat",$H7*SWSpringWheat!$F$135,0)</f>
        <v>0</v>
      </c>
      <c r="EH7" s="1">
        <f>IF($D7="HR Winter Wheat",$H7*HRWinterWheat!$F$135,0)</f>
        <v>0</v>
      </c>
      <c r="EI7" s="1">
        <f>IF($D7="Winter Pea",$H7*WinterPea!$F$135,0)</f>
        <v>0</v>
      </c>
      <c r="EJ7" s="1">
        <f>IF($D7="Winter Canola",$H7*WinterCanola!$F$135,0)</f>
        <v>0</v>
      </c>
      <c r="EK7" s="322">
        <f>IF($D7="Forage Crop-Soil Builder Blend",$H7*ForageCrop!$F$135,0)</f>
        <v>0</v>
      </c>
      <c r="EL7" s="1">
        <f>IF($D7="SW Winter Wheat after Spring Legume",$H7*SWWinterWheatAfterSpringLegume!$J$116,0)</f>
        <v>0</v>
      </c>
      <c r="EM7" s="1">
        <f>IF($D7="SW Winter Wheat after Forage Crop",$H7*SWWinterWheatAfterForageCrop!$J$116,0)</f>
        <v>0</v>
      </c>
      <c r="EN7" s="1">
        <f>IF($D7="DN Spring Wheat after Spring Legume",$H7*DNSpringWinterAfterSpringLegume!$J$116,0)</f>
        <v>0</v>
      </c>
      <c r="EO7" s="1">
        <f>IF($D7="DN Spring Wheat after Forage Crop",$H7*DNSpringWheatAfterForageCrop!$J$116,0)</f>
        <v>0</v>
      </c>
      <c r="EP7" s="1">
        <f>IF($D7="DN Spring Wheat after Winter Crop",$H7*DNSpringWheatAfterWinterCrop!$J$116,0)</f>
        <v>0</v>
      </c>
      <c r="EQ7" s="1">
        <f>IF($D7="Chickpea after Forage Crop",$H7*ChickpeaAfterForageCrop!$J$116,0)</f>
        <v>0</v>
      </c>
      <c r="ER7" s="1">
        <f>IF($D7="Chickpea after Cereal",$H7*ChickpeaAfterCereal!$J$116,0)</f>
        <v>7829.5592001044379</v>
      </c>
      <c r="ES7" s="1">
        <f>IF($D7="Spring Pea after Cereal",$H7*SpringPeaAfterCereal!$J$116,0)</f>
        <v>0</v>
      </c>
      <c r="ET7" s="1">
        <f>IF($D7="Forage Crop-St. John Area",$H7*'ForageCrop-StJohn'!$J$116,0)</f>
        <v>0</v>
      </c>
      <c r="EU7" s="1">
        <f>IF($D7="Forage Crop-Genesee Area",$H7*'ForageCrop-Genesee'!$J$116,0)</f>
        <v>0</v>
      </c>
      <c r="EV7" s="1">
        <f>IF($D7="Livestock Grazing",$H7*LivestockGrazing!$J$116,0)</f>
        <v>0</v>
      </c>
      <c r="EW7" s="1">
        <f>IF($D7="SW Winter Wheat after Cereal",$H7*SWWinterWheatafterCereal!$J$116,0)</f>
        <v>0</v>
      </c>
      <c r="EX7" s="1">
        <f>IF($D7="SW Winter Wheat after Fallow",$H7*SWWinterWheatAfterFallow!$J$116,0)</f>
        <v>0</v>
      </c>
      <c r="EY7" s="1">
        <f>IF($D7="Chem-Fallow",$H7*'Chem-Fallow'!$J$116,0)</f>
        <v>0</v>
      </c>
      <c r="EZ7" s="1">
        <f>IF($D7="Flex-Fallow",$H7*'Flex-Fallow'!$J$116,0)</f>
        <v>0</v>
      </c>
      <c r="FA7" s="1">
        <f>IF($D7="Spring Barley",$H7*SpringBarley!$J$116,0)</f>
        <v>0</v>
      </c>
      <c r="FB7" s="1">
        <f>IF($D7="Roundup Ready Spring Canola",$H7*'SpringCanola_R-Ready'!$J$116,0)</f>
        <v>0</v>
      </c>
      <c r="FC7" s="1">
        <f>IF($D7="Spring Canola",$H7*SpringCanola!$J$116,0)</f>
        <v>0</v>
      </c>
      <c r="FD7" s="1">
        <f>IF($D7="Spring Lentils",$H7*SpringLentils!$J$116,0)</f>
        <v>0</v>
      </c>
      <c r="FE7" s="1">
        <f>IF($D7="SW Spring Wheat",$H7*SWSpringWheat!$J$116,0)</f>
        <v>0</v>
      </c>
      <c r="FF7" s="1">
        <f>IF($D7="HR Winter Wheat",$H7*HRWinterWheat!$J$116,0)</f>
        <v>0</v>
      </c>
      <c r="FG7" s="1">
        <f>IF($D7="Winter Pea",$H7*WinterPea!$J$116,0)</f>
        <v>0</v>
      </c>
      <c r="FH7" s="1">
        <f>IF($D7="Winter Canola",$H7*WinterCanola!$J$116,0)</f>
        <v>0</v>
      </c>
      <c r="FI7" s="322">
        <f>IF($D7="Forage Crop-Soil Builder Blend",$H7*ForageCrop!$J$116,0)</f>
        <v>0</v>
      </c>
      <c r="FJ7" s="1">
        <f>IF($D7="SW Winter Wheat after Spring Legume",$H7*SWWinterWheatAfterSpringLegume!$J$117,0)</f>
        <v>0</v>
      </c>
      <c r="FK7" s="1">
        <f>IF($D7="SW Winter Wheat after Forage Crop",$H7*SWWinterWheatAfterForageCrop!$J$117,0)</f>
        <v>0</v>
      </c>
      <c r="FL7" s="1">
        <f>IF($D7="DN Spring Wheat after Spring Legume",$H7*DNSpringWinterAfterSpringLegume!$J$117,0)</f>
        <v>0</v>
      </c>
      <c r="FM7" s="1">
        <f>IF($D7="DN Spring Wheat after Forage Crop",$H7*DNSpringWheatAfterForageCrop!$J$117,0)</f>
        <v>0</v>
      </c>
      <c r="FN7" s="1">
        <f>IF($D7="DN Spring Wheat after Winter Crop",$H7*DNSpringWheatAfterWinterCrop!$J$117,0)</f>
        <v>0</v>
      </c>
      <c r="FO7" s="1">
        <f>IF($D7="Chickpea after Forage Crop",$H7*ChickpeaAfterForageCrop!$J$117,0)</f>
        <v>0</v>
      </c>
      <c r="FP7" s="1">
        <f>IF($D7="Chickpea after Cereal",$H7*ChickpeaAfterCereal!$J$117,0)</f>
        <v>18058.311263802698</v>
      </c>
      <c r="FQ7" s="1">
        <f>IF($D7="Spring Pea after Cereal",$H7*SpringPeaAfterCereal!$J$117,0)</f>
        <v>0</v>
      </c>
      <c r="FR7" s="1">
        <f>IF($D7="Forage Crop-St. John Area",$H7*'ForageCrop-StJohn'!$J$117,0)</f>
        <v>0</v>
      </c>
      <c r="FS7" s="1">
        <f>IF($D7="Forage Crop-Genesee Area",$H7*'ForageCrop-Genesee'!$J$117,0)</f>
        <v>0</v>
      </c>
      <c r="FT7" s="1">
        <f>IF($D7="Livestock Grazing",$H7*LivestockGrazing!$J$117,0)</f>
        <v>0</v>
      </c>
      <c r="FU7" s="1">
        <f>IF($D7="SW Winter Wheat after Cereal",$H7*SWWinterWheatafterCereal!$J$117,0)</f>
        <v>0</v>
      </c>
      <c r="FV7" s="1">
        <f>IF($D7="SW Winter Wheat after Fallow",$H7*SWWinterWheatAfterFallow!$J$117,0)</f>
        <v>0</v>
      </c>
      <c r="FW7" s="1">
        <f>IF($D7="Chem-Fallow",$H7*'Chem-Fallow'!$J$117,0)</f>
        <v>0</v>
      </c>
      <c r="FX7" s="1">
        <f>IF($D7="Flex-Fallow",$H7*'Flex-Fallow'!$J$117,0)</f>
        <v>0</v>
      </c>
      <c r="FY7" s="1">
        <f>IF($D7="Spring Barley",$H7*SpringBarley!$J$117,0)</f>
        <v>0</v>
      </c>
      <c r="FZ7" s="1">
        <f>IF($D7="Roundup Ready Spring Canola",$H7*'SpringCanola_R-Ready'!$J$117,0)</f>
        <v>0</v>
      </c>
      <c r="GA7" s="1">
        <f>IF($D7="Spring Canola",$H7*SpringCanola!$J$117,0)</f>
        <v>0</v>
      </c>
      <c r="GB7" s="1">
        <f>IF($D7="Spring Lentils",$H7*SpringLentils!$J$117,0)</f>
        <v>0</v>
      </c>
      <c r="GC7" s="1">
        <f>IF($D7="SW Spring Wheat",$H7*SWSpringWheat!$J$117,0)</f>
        <v>0</v>
      </c>
      <c r="GD7" s="1">
        <f>IF($D7="HR Winter Wheat",$H7*HRWinterWheat!$J$117,0)</f>
        <v>0</v>
      </c>
      <c r="GE7" s="1">
        <f>IF($D7="Winter Pea",$H7*WinterPea!$J$117,0)</f>
        <v>0</v>
      </c>
      <c r="GF7" s="1">
        <f>IF($D7="Winter Canola",$H7*WinterCanola!$J$117,0)</f>
        <v>0</v>
      </c>
      <c r="GG7" s="322">
        <f>IF($D7="Forage Crop-Soil Builder Blend",$H7*ForageCrop!$J$117,0)</f>
        <v>0</v>
      </c>
      <c r="GH7" s="1">
        <f>IF($D7="SW Winter Wheat after Spring Legume",$H7*SWWinterWheatAfterSpringLegume!$J$118,0)</f>
        <v>0</v>
      </c>
      <c r="GI7" s="1">
        <f>IF($D7="SW Winter Wheat after Forage Crop",$H7*SWWinterWheatAfterForageCrop!$J$118,0)</f>
        <v>0</v>
      </c>
      <c r="GJ7" s="1">
        <f>IF($D7="DN Spring Wheat after Spring Legume",$H7*DNSpringWinterAfterSpringLegume!$J$118,0)</f>
        <v>0</v>
      </c>
      <c r="GK7" s="1">
        <f>IF($D7="DN Spring Wheat after Forage Crop",$H7*DNSpringWheatAfterForageCrop!$J$118,0)</f>
        <v>0</v>
      </c>
      <c r="GL7" s="1">
        <f>IF($D7="DN Spring Wheat after Winter Crop",$H7*DNSpringWheatAfterWinterCrop!$J$118,0)</f>
        <v>0</v>
      </c>
      <c r="GM7" s="1">
        <f>IF($D7="Chickpea after Forage Crop",$H7*ChickpeaAfterForageCrop!$J$118,0)</f>
        <v>0</v>
      </c>
      <c r="GN7" s="1">
        <f>IF($D7="Chickpea after Cereal",$H7*ChickpeaAfterCereal!$J$118,0)</f>
        <v>8657.252457203198</v>
      </c>
      <c r="GO7" s="1">
        <f>IF($D7="Spring Pea after Cereal",$H7*SpringPeaAfterCereal!$J$118,0)</f>
        <v>0</v>
      </c>
      <c r="GP7" s="1">
        <f>IF($D7="Forage Crop-St. John Area",$H7*'ForageCrop-StJohn'!$J$118,0)</f>
        <v>0</v>
      </c>
      <c r="GQ7" s="1">
        <f>IF($D7="Forage Crop-Genesee Area",$H7*'ForageCrop-Genesee'!$J$118,0)</f>
        <v>0</v>
      </c>
      <c r="GR7" s="1">
        <f>IF($D7="Livestock Grazing",$H7*LivestockGrazing!$J$118,0)</f>
        <v>0</v>
      </c>
      <c r="GS7" s="1">
        <f>IF($D7="SW Winter Wheat after Cereal",$H7*SWWinterWheatafterCereal!$J$118,0)</f>
        <v>0</v>
      </c>
      <c r="GT7" s="1">
        <f>IF($D7="SW Winter Wheat after Fallow",$H7*SWWinterWheatAfterFallow!$J$118,0)</f>
        <v>0</v>
      </c>
      <c r="GU7" s="1">
        <f>IF($D7="Chem-Fallow",$H7*'Chem-Fallow'!$J$118,0)</f>
        <v>0</v>
      </c>
      <c r="GV7" s="1">
        <f>IF($D7="Flex-Fallow",$H7*'Flex-Fallow'!$J$118,0)</f>
        <v>0</v>
      </c>
      <c r="GW7" s="1">
        <f>IF($D7="Spring Barley",$H7*SpringBarley!$J$118,0)</f>
        <v>0</v>
      </c>
      <c r="GX7" s="1">
        <f>IF($D7="Roundup Ready Spring Canola",$H7*'SpringCanola_R-Ready'!$J$118,0)</f>
        <v>0</v>
      </c>
      <c r="GY7" s="1">
        <f>IF($D7="Spring Canola",$H7*SpringCanola!$J$118,0)</f>
        <v>0</v>
      </c>
      <c r="GZ7" s="1">
        <f>IF($D7="Spring Lentils",$H7*SpringLentils!$J$118,0)</f>
        <v>0</v>
      </c>
      <c r="HA7" s="1">
        <f>IF($D7="SW Spring Wheat",$H7*SWSpringWheat!$J$118,0)</f>
        <v>0</v>
      </c>
      <c r="HB7" s="1">
        <f>IF($D7="HR Winter Wheat",$H7*HRWinterWheat!$J$118,0)</f>
        <v>0</v>
      </c>
      <c r="HC7" s="1">
        <f>IF($D7="Winter Pea",$H7*WinterPea!$J$118,0)</f>
        <v>0</v>
      </c>
      <c r="HD7" s="1">
        <f>IF($D7="Winter Canola",$H7*WinterCanola!$J$118,0)</f>
        <v>0</v>
      </c>
      <c r="HE7" s="322">
        <f>IF($D7="Forage Crop-Soil Builder Blend",$H7*ForageCrop!$J$118,0)</f>
        <v>0</v>
      </c>
      <c r="HF7" s="1">
        <f>IF($D7="SW Winter Wheat after Spring Legume",($H7*(SUM(SWWinterWheatAfterSpringLegume!$E$9:$E$16)+SWWinterWheatAfterSpringLegume!$G$16))/2000,0)</f>
        <v>0</v>
      </c>
      <c r="HG7" s="1">
        <f>IF($D7="SW Winter Wheat after Forage Crop",($H7*(SUM(SWWinterWheatAfterForageCrop!$E$9:$E$16)+SWWinterWheatAfterForageCrop!$G$17))/2000,0)</f>
        <v>0</v>
      </c>
      <c r="HH7" s="1">
        <f>IF($D7="DN Spring Wheat after Spring Legume",($H7*(SUM(DNSpringWinterAfterSpringLegume!$E$9:$E$16)+DNSpringWinterAfterSpringLegume!$G$16))/2000,0)</f>
        <v>0</v>
      </c>
      <c r="HI7" s="1">
        <f>IF($D7="DN Spring Wheat after Forage Crop",($H7*(SUM(DNSpringWheatAfterForageCrop!$E$9:$E$16)+DNSpringWheatAfterForageCrop!$G$14))/2000,0)</f>
        <v>0</v>
      </c>
      <c r="HJ7" s="1">
        <f>IF($D7="DN Spring Wheat after Winter Crop",($H7*(SUM(DNSpringWheatAfterWinterCrop!$E$9:$E$16)+DNSpringWheatAfterWinterCrop!$G$16))/2000,0)</f>
        <v>0</v>
      </c>
      <c r="HK7" s="1">
        <f>IF($D7="Chickpea after Forage Crop",($H7*(SUM(ChickpeaAfterForageCrop!$E$9:$E$16)+ChickpeaAfterForageCrop!$G$14))/2000,0)</f>
        <v>0</v>
      </c>
      <c r="HL7" s="1">
        <f>IF($D7="Chickpea after Cereal",($H7*(SUM(ChickpeaAfterCereal!$E$9:$E$16)+ChickpeaAfterCereal!$G$14))/2000,0)</f>
        <v>0.85664062499999993</v>
      </c>
      <c r="HM7" s="1">
        <f>IF($D7="Spring Pea after Cereal",($H7*(SUM(SpringPeaAfterCereal!$E$9:$E$16)+SpringPeaAfterCereal!$G$14))/2000,0)</f>
        <v>0</v>
      </c>
      <c r="HN7" s="1">
        <f>IF($D7="Forage Crop-St. John Area",($H7*(SUM('ForageCrop-StJohn'!$E$9:$E$16)+'ForageCrop-StJohn'!$G$14))/2000,0)</f>
        <v>0</v>
      </c>
      <c r="HO7" s="1">
        <f>IF($D7="Forage Crop-Genesee Area",($H7*(SUM('ForageCrop-Genesee'!$E$9:$E$16)+'ForageCrop-Genesee'!$G$14))/2000,0)</f>
        <v>0</v>
      </c>
      <c r="HP7" s="1">
        <f>IF($D7="Livestock Grazing",($H7*(SUM(LivestockGrazing!$E$9:$E$16)+LivestockGrazing!$G$14))/2000,0)</f>
        <v>0</v>
      </c>
      <c r="HQ7" s="1">
        <f>IF($D7="SW Winter Wheat after Cereal",($H7*(SUM(SWWinterWheatafterCereal!$E$9:$E$16)+SWWinterWheatafterCereal!$G$16))/2000,0)</f>
        <v>0</v>
      </c>
      <c r="HR7" s="1">
        <f>IF($D7="SW Winter Wheat after Fallow",($H7*(SUM(SWWinterWheatAfterFallow!$E$9:$E$16)+SWWinterWheatAfterFallow!$G$14))/2000,0)</f>
        <v>0</v>
      </c>
      <c r="HS7" s="1">
        <f>IF($D7="Chem-Fallow",($H7*(SUM('Chem-Fallow'!$E$9:$E$16)+'Chem-Fallow'!$G$16))/2000,0)</f>
        <v>0</v>
      </c>
      <c r="HT7" s="1">
        <f>IF($D7="Flex-Fallow",($H7*(SUM('Flex-Fallow'!$E$9:$E$16)+'Flex-Fallow'!$G$16))/2000,0)</f>
        <v>0</v>
      </c>
      <c r="HU7" s="1">
        <f>IF($D7="Spring Barley",($H7*(SUM(SpringBarley!$E$9:$E$16)+SpringBarley!$G$16))/2000,0)</f>
        <v>0</v>
      </c>
      <c r="HV7" s="1">
        <f>IF($D7="Roundup Ready Spring Canola",($H7*(SUM('SpringCanola_R-Ready'!$E$9:$E$16)+'SpringCanola_R-Ready'!$G$14))/2000,0)</f>
        <v>0</v>
      </c>
      <c r="HW7" s="1">
        <f>IF($D7="Spring Canola",($H7*(SUM(SpringCanola!$E$9:$E$16)+SpringCanola!$G$14))/2000,0)</f>
        <v>0</v>
      </c>
      <c r="HX7" s="1">
        <f>IF($D7="Spriing Lentils",($H7*(SUM(SpringLentils!$E$9:$E$16)+SpringLentils!$G$14))/2000,0)</f>
        <v>0</v>
      </c>
      <c r="HY7" s="1">
        <f>IF($D7="SW Spring Wheat",($H7*(SUM(SWSpringWheat!$E$9:$E$16)+SWSpringWheat!$G$18))/2000,0)</f>
        <v>0</v>
      </c>
      <c r="HZ7" s="1">
        <f>IF($D7="HR Winter Wheat",($H7*(SUM(HRWinterWheat!$E$9:$E$16)+HRWinterWheat!$G$16))/2000,0)</f>
        <v>0</v>
      </c>
      <c r="IA7" s="1">
        <f>IF($D7="Winter Pea",($H7*(SUM(WinterPea!$E$9:$E$16)+WinterPea!$G$14))/2000,0)</f>
        <v>0</v>
      </c>
      <c r="IB7" s="1">
        <f>IF($D7="Winter Canola",($H7*(SUM(WinterCanola!$E$9:$E$16)+WinterCanola!$G$14))/2000,0)</f>
        <v>0</v>
      </c>
      <c r="IC7" s="322">
        <f>IF($D7="Forage Crop-Soil Builder Blend",($H7*(SUM(ForageCrop!$E$9:$E$16)+ForageCrop!$G$14))/2000,0)</f>
        <v>0</v>
      </c>
      <c r="ID7" s="1">
        <f>IF($D7="SW Winter Wheat after Spring Legume",$H7*SWWinterWheatAfterSpringLegume!$G$62,0)</f>
        <v>0</v>
      </c>
      <c r="IE7" s="1">
        <f>IF($D7="SW Winter Wheat after Forage Crop",$H7*SWWinterWheatAfterForageCrop!$G$62,0)</f>
        <v>0</v>
      </c>
      <c r="IF7" s="1">
        <f>IF($D7="DN Spring Wheat after Spring Legume",$H7*DNSpringWinterAfterSpringLegume!$G$62,0)</f>
        <v>0</v>
      </c>
      <c r="IG7" s="1">
        <f>IF($D7="DN Spring Wheat after Forage Crop",$H7*DNSpringWheatAfterForageCrop!$G$62,0)</f>
        <v>0</v>
      </c>
      <c r="IH7" s="1">
        <f>IF($D7="DN Spring Wheat after Winter Crop",$H7*DNSpringWheatAfterWinterCrop!$G$62,0)</f>
        <v>0</v>
      </c>
      <c r="II7" s="1">
        <f>IF($D7="Chickpea after Forage Crop",$H7*ChickpeaAfterForageCrop!$G$62,0)</f>
        <v>0</v>
      </c>
      <c r="IJ7" s="1">
        <f>IF($D7="Chickpea after Cereal",$H7*ChickpeaAfterCereal!$G$62,0)</f>
        <v>208.59375</v>
      </c>
      <c r="IK7" s="1">
        <f>IF($D7="Spring Pea after Cereal",$H7*SpringPeaAfterCereal!$G$62,0)</f>
        <v>0</v>
      </c>
      <c r="IL7" s="1">
        <f>IF($D7="Forage Crop-St. John Area",$H7*'ForageCrop-StJohn'!$G$62,0)</f>
        <v>0</v>
      </c>
      <c r="IM7" s="1">
        <f>IF($D7="Forage Crop-Genesee Area",$H7*'ForageCrop-Genesee'!$G$62,0)</f>
        <v>0</v>
      </c>
      <c r="IN7" s="1">
        <f>IF($D7="Livestock Grazing",$H7*LivestockGrazing!$G$62,0)</f>
        <v>0</v>
      </c>
      <c r="IO7" s="1">
        <f>IF($D7="SW Winter Wheat after Cereal",$H7*SWWinterWheatafterCereal!$G$62,0)</f>
        <v>0</v>
      </c>
      <c r="IP7" s="1">
        <f>IF($D7="SW Winter Wheat after Fallow",$H7*SWWinterWheatAfterFallow!$G$62,0)</f>
        <v>0</v>
      </c>
      <c r="IQ7" s="1">
        <f>IF($D7="Chem-Fallow",$H7*'Chem-Fallow'!$G$62,0)</f>
        <v>0</v>
      </c>
      <c r="IR7" s="1">
        <f>IF($D7="Flex-Fallow",$H7*'Flex-Fallow'!$G$62,0)</f>
        <v>0</v>
      </c>
      <c r="IS7" s="1">
        <f>IF($D7="Spring Barley",$H7*SpringBarley!$G$62,0)</f>
        <v>0</v>
      </c>
      <c r="IT7" s="1">
        <f>IF($D7="Roundup Ready Spring Canola",$H7*'SpringCanola_R-Ready'!$G$62,0)</f>
        <v>0</v>
      </c>
      <c r="IU7" s="1">
        <f>IF($D7="Spring Canola",$H7*SpringCanola!$G$62,0)</f>
        <v>0</v>
      </c>
      <c r="IV7" s="1">
        <f>IF($D7="Spriing Lentils",$H7*SpringLentils!$G$62,0)</f>
        <v>0</v>
      </c>
      <c r="IW7" s="1">
        <f>IF($D7="SW Spring Wheat",$H7*SWSpringWheat!$G$62,0)</f>
        <v>0</v>
      </c>
      <c r="IX7" s="1">
        <f>IF($D7="HR Winter Wheat",$H7*HRWinterWheat!$G$62,0)</f>
        <v>0</v>
      </c>
      <c r="IY7" s="1">
        <f>IF($D7="Winter Pea",$H7*WinterPea!$G$62,0)</f>
        <v>0</v>
      </c>
      <c r="IZ7" s="1">
        <f>IF($D7="Winter Canola",$H7*+WinterCanola!$G$62,0)</f>
        <v>0</v>
      </c>
      <c r="JA7" s="1">
        <f>IF($D7="Forage Crop-Soil Builder Blend",$H7*ForageCrop!$G$62,0)</f>
        <v>0</v>
      </c>
      <c r="JB7" s="1">
        <f>IF($D7="SW Winter Wheat after Spring Legume",$H7*'Prices_Yields&amp;SeedInputs'!E5,0)</f>
        <v>0</v>
      </c>
      <c r="JC7" s="1">
        <f>IF($D7="SW Winter Wheat after Forage Crop",$H7*'Prices_Yields&amp;SeedInputs'!E6,0)</f>
        <v>0</v>
      </c>
      <c r="JD7" s="1">
        <f>IF($D7="DN Spring Wheat after Spring Legume",$H7*'Prices_Yields&amp;SeedInputs'!E$7,0)</f>
        <v>0</v>
      </c>
      <c r="JE7" s="1">
        <f>IF($D7="DN Spring Wheat after Forage Crop",$H7*'Prices_Yields&amp;SeedInputs'!E$8,0)</f>
        <v>0</v>
      </c>
      <c r="JF7" s="1">
        <f>IF($D7="DN Spring Wheat after Winter Crop",$H7*'Prices_Yields&amp;SeedInputs'!E$9,0)</f>
        <v>0</v>
      </c>
      <c r="JG7" s="1">
        <f>IF($D7="Chickpea after Forage Crop",$H7*'Prices_Yields&amp;SeedInputs'!E$10,0)</f>
        <v>0</v>
      </c>
      <c r="JH7" s="1">
        <f>IF($D7="Chickpea after Cereal",$H7*'Prices_Yields&amp;SeedInputs'!E$11,0)</f>
        <v>700000</v>
      </c>
      <c r="JI7" s="1">
        <f>IF($D7="Spring Pea after Cereal",$H7*'Prices_Yields&amp;SeedInputs'!E$12,0)</f>
        <v>0</v>
      </c>
      <c r="JJ7" s="1">
        <f>IF($D7="Forage Crop-St. John Area",$H7*'Prices_Yields&amp;SeedInputs'!E$13,0)</f>
        <v>0</v>
      </c>
      <c r="JK7" s="1">
        <f>IF($D7="Forage Crop-Genesee Area",$H7*'Prices_Yields&amp;SeedInputs'!E$14,0)</f>
        <v>0</v>
      </c>
      <c r="JL7" s="1">
        <f>IF($D7="Livestock Grazing",$H7*'Prices_Yields&amp;SeedInputs'!E$15,0)</f>
        <v>0</v>
      </c>
      <c r="JM7" s="1">
        <f>IF($D7="SW Winter Wheat after Cereal",$H7*'Prices_Yields&amp;SeedInputs'!E$16,0)</f>
        <v>0</v>
      </c>
      <c r="JN7" s="1">
        <f>IF($D7="SW Winter Wheat after Fallow",$H7*'Prices_Yields&amp;SeedInputs'!E$17,0)</f>
        <v>0</v>
      </c>
      <c r="JO7" s="1">
        <f>IF($D7="Chem-Fallow",$H7*'Prices_Yields&amp;SeedInputs'!E$18,0)</f>
        <v>0</v>
      </c>
      <c r="JP7" s="1">
        <f>IF($D7="Flex-Fallow",$H7*'Prices_Yields&amp;SeedInputs'!E$19,0)</f>
        <v>0</v>
      </c>
      <c r="JQ7" s="1">
        <f>IF($D7="Spring Barley",$H7*'Prices_Yields&amp;SeedInputs'!E$20,0)</f>
        <v>0</v>
      </c>
      <c r="JR7" s="1">
        <f>IF($D7="Roundup Ready Spring Canola",$H7*'Prices_Yields&amp;SeedInputs'!E$21,0)</f>
        <v>0</v>
      </c>
      <c r="JS7" s="1">
        <f>IF($D7="Spring Canola",$H7*'Prices_Yields&amp;SeedInputs'!E$22,0)</f>
        <v>0</v>
      </c>
      <c r="JT7" s="1">
        <f>IF($D7="Spriing Lentils",$H7*'Prices_Yields&amp;SeedInputs'!E$23,0)</f>
        <v>0</v>
      </c>
      <c r="JU7" s="1">
        <f>IF($D7="SW Spring Wheat",$H7*'Prices_Yields&amp;SeedInputs'!E$24,0)</f>
        <v>0</v>
      </c>
      <c r="JV7" s="1">
        <f>IF($D7="HR Winter Wheat",$H7*'Prices_Yields&amp;SeedInputs'!E$25,0)</f>
        <v>0</v>
      </c>
      <c r="JW7" s="1">
        <f>IF($D7="Winter Pea",$H7*'Prices_Yields&amp;SeedInputs'!E$26,0)</f>
        <v>0</v>
      </c>
      <c r="JX7" s="1">
        <f>IF($D7="Winter Canola",$H7*'Prices_Yields&amp;SeedInputs'!E$27,0)</f>
        <v>0</v>
      </c>
      <c r="JY7" s="1">
        <f>IF($D7="Forage Crop-Soil Builder Blend",$H7*'Prices_Yields&amp;SeedInputs'!E$28,0)</f>
        <v>0</v>
      </c>
    </row>
    <row r="8" spans="1:288" ht="20" customHeight="1">
      <c r="A8" s="3"/>
      <c r="B8" s="621"/>
      <c r="C8" s="43">
        <v>4</v>
      </c>
      <c r="D8" s="135"/>
      <c r="E8" s="136">
        <v>0</v>
      </c>
      <c r="F8" s="303">
        <f>IF(D8="Livestock Grazing",0,E8)</f>
        <v>0</v>
      </c>
      <c r="G8" s="148">
        <f>IF(D8="Livestock Grazing",0,$I$2*E8)</f>
        <v>0</v>
      </c>
      <c r="H8" s="306">
        <f>$I$2*E8</f>
        <v>0</v>
      </c>
      <c r="I8" s="140">
        <f>SUM(AT8:BQ8)</f>
        <v>0</v>
      </c>
      <c r="J8" s="140"/>
      <c r="M8" s="197"/>
      <c r="N8" s="5" t="s">
        <v>100</v>
      </c>
      <c r="O8" s="200">
        <v>40977.450451334371</v>
      </c>
      <c r="P8" s="200">
        <f>SUM('Farm and Rotation Setup'!FJ5:GG9)</f>
        <v>93901.115229963441</v>
      </c>
      <c r="Q8" s="197">
        <f t="shared" si="0"/>
        <v>1.29153142022543</v>
      </c>
      <c r="R8" s="197"/>
      <c r="S8" s="3"/>
      <c r="T8" s="3"/>
      <c r="V8" s="1">
        <f>IF($D8="SW Winter Wheat after Spring Legume",$H8,0)</f>
        <v>0</v>
      </c>
      <c r="W8" s="1">
        <f>IF($D8="SW Winter Wheat after Forage Crop",$H8,0)</f>
        <v>0</v>
      </c>
      <c r="X8" s="1">
        <f>IF($D8="DN Spring Wheat after Spring Legume",$H8,0)</f>
        <v>0</v>
      </c>
      <c r="Y8" s="1">
        <f>IF($D8="DN Spring Wheat after Forage Crop",$H8,0)</f>
        <v>0</v>
      </c>
      <c r="Z8" s="1">
        <f>IF($D8="DN Spring Wheat after Winter Crop",$H8,0)</f>
        <v>0</v>
      </c>
      <c r="AA8" s="1">
        <f>IF($D8="Chickpea after Forage Crop",$H8,0)</f>
        <v>0</v>
      </c>
      <c r="AB8" s="1">
        <f>IF($D8="Chickpea after Cereal",$H8,0)</f>
        <v>0</v>
      </c>
      <c r="AC8" s="1">
        <f>IF($D8="Spring Pea after Cereal",$H8,0)</f>
        <v>0</v>
      </c>
      <c r="AD8" s="1">
        <f>IF($D8="Forage Crop-St. John Area",$H8,0)</f>
        <v>0</v>
      </c>
      <c r="AE8" s="1">
        <f>IF($D8="Forage Crop-Genesee Area",$H8,0)</f>
        <v>0</v>
      </c>
      <c r="AF8" s="1">
        <f>IF($D8="Livestock Grazing",$H8,0)</f>
        <v>0</v>
      </c>
      <c r="AG8" s="1">
        <f>IF($D8="SW Winter Wheat after Cereal",$H8,0)</f>
        <v>0</v>
      </c>
      <c r="AH8" s="1">
        <f>IF($D8="SW Winter Wheat after Fallow",$H8,0)</f>
        <v>0</v>
      </c>
      <c r="AI8" s="1">
        <f>IF($D8="Chem-Fallow",$H8,0)</f>
        <v>0</v>
      </c>
      <c r="AJ8" s="1">
        <f>IF($D8="Flex-Fallow",$H8,0)</f>
        <v>0</v>
      </c>
      <c r="AK8" s="1">
        <f>IF($D8="Spring Barley",$H8,0)</f>
        <v>0</v>
      </c>
      <c r="AL8" s="1">
        <f>IF($D8="Roundup Ready Spring Canola",$H8,0)</f>
        <v>0</v>
      </c>
      <c r="AM8" s="1">
        <f>IF($D8="Spring Canola",$H8,0)</f>
        <v>0</v>
      </c>
      <c r="AN8" s="1">
        <f>IF($D8="Spring Lentils",$H8,0)</f>
        <v>0</v>
      </c>
      <c r="AO8" s="1">
        <f>IF($D8="SW Spring Wheat",$H8,0)</f>
        <v>0</v>
      </c>
      <c r="AP8" s="1">
        <f>IF($D8="HR Winter Wheat",$H8,0)</f>
        <v>0</v>
      </c>
      <c r="AQ8" s="1">
        <f>IF($D8="Winter Pea",$H8,0)</f>
        <v>0</v>
      </c>
      <c r="AR8" s="1">
        <f>IF($D8="Winter Canola",$H8,0)</f>
        <v>0</v>
      </c>
      <c r="AS8" s="322">
        <f>IF($D8="Forage Crop-Soil Builder Blend",$H8,0)</f>
        <v>0</v>
      </c>
      <c r="AT8" s="1">
        <f>IF($D8="SW Winter Wheat after Spring Legume",SWWinterWheatAfterSpringLegume!$F$138,0)</f>
        <v>0</v>
      </c>
      <c r="AU8" s="1">
        <f>IF($D8="SW Winter Wheat after Forage Crop",SWWinterWheatAfterForageCrop!$F$138,0)</f>
        <v>0</v>
      </c>
      <c r="AV8" s="1">
        <f>IF($D8="DN Spring Wheat after Spring Legume",DNSpringWinterAfterSpringLegume!$F$138,0)</f>
        <v>0</v>
      </c>
      <c r="AW8" s="1">
        <f>IF($D8="DN Spring Wheat after Forage Crop",DNSpringWheatAfterForageCrop!$F$138,0)</f>
        <v>0</v>
      </c>
      <c r="AX8" s="1">
        <f>IF($D8="DN Spring Wheat after Winter Crop",DNSpringWheatAfterWinterCrop!$F$138,0)</f>
        <v>0</v>
      </c>
      <c r="AY8" s="1">
        <f>IF($D8="Chickpea after Forage Crop",ChickpeaAfterForageCrop!$F$138,0)</f>
        <v>0</v>
      </c>
      <c r="AZ8" s="1">
        <f>IF($D8="Chickpea after Cereal",ChickpeaAfterCereal!$F$138,0)</f>
        <v>0</v>
      </c>
      <c r="BA8" s="1">
        <f>IF($D8="Spring Pea after Cereal",SpringPeaAfterCereal!$F$138,0)</f>
        <v>0</v>
      </c>
      <c r="BB8" s="1">
        <f>IF($D8="Forage Crop-St. John Area",'ForageCrop-StJohn'!$F$138,0)</f>
        <v>0</v>
      </c>
      <c r="BC8" s="1">
        <f>IF($D8="Forage Crop-Genesee Area",'ForageCrop-Genesee'!$F$138,0)</f>
        <v>0</v>
      </c>
      <c r="BD8" s="1">
        <f>IF($D8="Livestock Grazing",LivestockGrazing!$F$138,0)</f>
        <v>0</v>
      </c>
      <c r="BE8" s="1">
        <f>IF($D8="SW Winter Wheat after Cereal",SWWinterWheatafterCereal!$F$138,0)</f>
        <v>0</v>
      </c>
      <c r="BF8" s="1">
        <f>IF($D8="SW Winter Wheat after Fallow",SWWinterWheatAfterFallow!$F$138,0)</f>
        <v>0</v>
      </c>
      <c r="BG8" s="1">
        <f>IF($D8="Chem-Fallow",'Chem-Fallow'!$F$138,0)</f>
        <v>0</v>
      </c>
      <c r="BH8" s="1">
        <f>IF($D8="Flex-Fallow",'Flex-Fallow'!$F$138,0)</f>
        <v>0</v>
      </c>
      <c r="BI8" s="1">
        <f>IF($D8="Spring Barley",SpringBarley!$F$138,0)</f>
        <v>0</v>
      </c>
      <c r="BJ8" s="1">
        <f>IF($D8="Roundup Ready Spring Canola",'SpringCanola_R-Ready'!$F$138,0)</f>
        <v>0</v>
      </c>
      <c r="BK8" s="1">
        <f>IF($D8="Spring Canola",SpringCanola!$F$138,0)</f>
        <v>0</v>
      </c>
      <c r="BL8" s="1">
        <f>IF($D8="Spring Lentils",SpringLentils!$F$138,0)</f>
        <v>0</v>
      </c>
      <c r="BM8" s="1">
        <f>IF($D8="SW Spring Wheat",SWSpringWheat!$F$138,0)</f>
        <v>0</v>
      </c>
      <c r="BN8" s="1">
        <f>IF($D8="HR Winter Wheat",HRWinterWheat!$F$138,0)</f>
        <v>0</v>
      </c>
      <c r="BO8" s="1">
        <f>IF($D8="Winter Pea",WinterPea!$F$138,0)</f>
        <v>0</v>
      </c>
      <c r="BP8" s="1">
        <f>IF($D8="Winter Canola",WinterCanola!$F$138,0)</f>
        <v>0</v>
      </c>
      <c r="BQ8" s="322">
        <f>IF($D8="Forage Crop-Soil Builder Blend",ForageCrop!$F$138,0)</f>
        <v>0</v>
      </c>
      <c r="BR8" s="1">
        <f>IF($D8="SW Winter Wheat after Spring Legume",H8*SWWinterWheatAfterSpringLegume!$F$138,0)</f>
        <v>0</v>
      </c>
      <c r="BS8" s="1">
        <f>IF($D8="SW Winter Wheat after Forage Crop",H8*SWWinterWheatAfterForageCrop!$F$138,0)</f>
        <v>0</v>
      </c>
      <c r="BT8" s="1">
        <f>IF($D8="DN Spring Wheat after Spring Legume",H8*DNSpringWinterAfterSpringLegume!$F$138,0)</f>
        <v>0</v>
      </c>
      <c r="BU8" s="1">
        <f>IF($D8="DN Spring Wheat after Forage Crop",H8*DNSpringWheatAfterForageCrop!$F$138,0)</f>
        <v>0</v>
      </c>
      <c r="BV8" s="1">
        <f>IF($D8="DN Spring Wheat after Winter Crop",H8*DNSpringWheatAfterWinterCrop!$F$138,0)</f>
        <v>0</v>
      </c>
      <c r="BW8" s="1">
        <f>IF($D8="Chickpea after Forage Crop",H8*ChickpeaAfterForageCrop!$F$138,0)</f>
        <v>0</v>
      </c>
      <c r="BX8" s="1">
        <f>IF($D8="Chickpea after Cereal",H8*ChickpeaAfterCereal!$F$138,0)</f>
        <v>0</v>
      </c>
      <c r="BY8" s="1">
        <f>IF($D8="Spring Pea after Cereal",H8*SpringPeaAfterCereal!$F$138,0)</f>
        <v>0</v>
      </c>
      <c r="BZ8" s="1">
        <f>IF($D8="Forage Crop-St. John Area",H8*'ForageCrop-StJohn'!$F$138,0)</f>
        <v>0</v>
      </c>
      <c r="CA8" s="1">
        <f>IF($D8="Forage Crop-Genesee Area",H8*'ForageCrop-Genesee'!$F$138,0)</f>
        <v>0</v>
      </c>
      <c r="CB8" s="1">
        <f>IF($D8="Livestock Grazing",H8*LivestockGrazing!$F$138,0)</f>
        <v>0</v>
      </c>
      <c r="CC8" s="1">
        <f>IF($D8="SW Winter Wheat after Cereal",H8*SWWinterWheatafterCereal!$F$138,0)</f>
        <v>0</v>
      </c>
      <c r="CD8" s="1">
        <f>IF($D8="SW Winter Wheat after Fallow",H8*SWWinterWheatAfterFallow!$F$138,0)</f>
        <v>0</v>
      </c>
      <c r="CE8" s="1">
        <f>IF($D8="Chem-Fallow",H8*'Chem-Fallow'!$F$138,0)</f>
        <v>0</v>
      </c>
      <c r="CF8" s="1">
        <f>IF($D8="Flex-Fallow",H8*'Flex-Fallow'!$F$138,0)</f>
        <v>0</v>
      </c>
      <c r="CG8" s="1">
        <f>IF($D8="Spring Barley",H8*SpringBarley!$F$138,0)</f>
        <v>0</v>
      </c>
      <c r="CH8" s="1">
        <f>IF($D8="Roundup Ready Spring Canola",H8*'SpringCanola_R-Ready'!$F$138,0)</f>
        <v>0</v>
      </c>
      <c r="CI8" s="1">
        <f>IF($D8="Spring Canola",H8*SpringCanola!$F$138,0)</f>
        <v>0</v>
      </c>
      <c r="CJ8" s="1">
        <f>IF($D8="Spring Lentils",H8*SpringLentils!$F$138,0)</f>
        <v>0</v>
      </c>
      <c r="CK8" s="1">
        <f>IF($D8="SW Spring Wheat",H8*SWSpringWheat!$F$138,0)</f>
        <v>0</v>
      </c>
      <c r="CL8" s="1">
        <f>IF($D8="HR Winter Wheat",H8*HRWinterWheat!$F$138,0)</f>
        <v>0</v>
      </c>
      <c r="CM8" s="1">
        <f>IF($D8="Winter Pea",H8*WinterPea!$F$138,0)</f>
        <v>0</v>
      </c>
      <c r="CN8" s="1">
        <f>IF($D8="Winter Canola",H8*WinterCanola!$F$138,0)</f>
        <v>0</v>
      </c>
      <c r="CO8" s="322">
        <f>IF($D8="Forage Crop-Soil Builder Blend",H8*ForageCrop!$F$138,0)</f>
        <v>0</v>
      </c>
      <c r="CP8" s="1">
        <f>IF($D8="SW Winter Wheat after Spring Legume",H8*'Prices_Yields&amp;SeedInputs'!J$5,0)</f>
        <v>0</v>
      </c>
      <c r="CQ8" s="1">
        <f>IF($D8="SW Winter Wheat after Forage Crop",H8*'Prices_Yields&amp;SeedInputs'!J$6,0)</f>
        <v>0</v>
      </c>
      <c r="CR8" s="1">
        <f>IF($D8="DN Spring Wheat after Spring Legume",H8*'Prices_Yields&amp;SeedInputs'!J$7,0)</f>
        <v>0</v>
      </c>
      <c r="CS8" s="1">
        <f>IF($D8="DN Spring Wheat after Forage Crop",H8*'Prices_Yields&amp;SeedInputs'!J$8,0)</f>
        <v>0</v>
      </c>
      <c r="CT8" s="1">
        <f>IF($D8="DN Spring Wheat after Winter Crop",H8*'Prices_Yields&amp;SeedInputs'!J$9,0)</f>
        <v>0</v>
      </c>
      <c r="CU8" s="1">
        <f>IF($D8="Chickpea after Forage Crop",H8*'Prices_Yields&amp;SeedInputs'!J$10,0)</f>
        <v>0</v>
      </c>
      <c r="CV8" s="1">
        <f>IF($D8="Chickpea after Cereal",H8*'Prices_Yields&amp;SeedInputs'!J$11,0)</f>
        <v>0</v>
      </c>
      <c r="CW8" s="1">
        <f>IF($D8="Spring Pea after Cereal",H8*'Prices_Yields&amp;SeedInputs'!J$12,0)</f>
        <v>0</v>
      </c>
      <c r="CX8" s="1">
        <f>IF($D8="Forage Crop-St. John Area",H8*'Prices_Yields&amp;SeedInputs'!J$13,0)</f>
        <v>0</v>
      </c>
      <c r="CY8" s="1">
        <f>IF($D8="Forage Crop-Genesee Area",H8*'Prices_Yields&amp;SeedInputs'!J$14,0)</f>
        <v>0</v>
      </c>
      <c r="CZ8" s="1">
        <f>IF($D8="Livestock Grazing",H8*'Prices_Yields&amp;SeedInputs'!J$15,0)</f>
        <v>0</v>
      </c>
      <c r="DA8" s="1">
        <f>IF($D8="SW Winter Wheat after Cereal",H8*'Prices_Yields&amp;SeedInputs'!J$16,0)</f>
        <v>0</v>
      </c>
      <c r="DB8" s="1">
        <f>IF($D8="SW Winter Wheat after Fallow",H8*'Prices_Yields&amp;SeedInputs'!J$17,0)</f>
        <v>0</v>
      </c>
      <c r="DC8" s="1">
        <f>IF($D8="Chem-Fallow",H8*'Prices_Yields&amp;SeedInputs'!J$18,0)</f>
        <v>0</v>
      </c>
      <c r="DD8" s="1">
        <f>IF($D8="Flex-Fallow",H8*'Prices_Yields&amp;SeedInputs'!J$19,0)</f>
        <v>0</v>
      </c>
      <c r="DE8" s="1">
        <f>IF($D8="Spring Barley",H8*'Prices_Yields&amp;SeedInputs'!J$20,0)</f>
        <v>0</v>
      </c>
      <c r="DF8" s="1">
        <f>IF($D8="Roundup Ready Spring Canola",H8*'Prices_Yields&amp;SeedInputs'!J$21,0)</f>
        <v>0</v>
      </c>
      <c r="DG8" s="1">
        <f>IF($D8="Spring Canola",H8*'Prices_Yields&amp;SeedInputs'!J$22,0)</f>
        <v>0</v>
      </c>
      <c r="DH8" s="1">
        <f>IF($D8="Spring Lentils",H8*'Prices_Yields&amp;SeedInputs'!J$23,0)</f>
        <v>0</v>
      </c>
      <c r="DI8" s="1">
        <f>IF($D8="SW Spring Wheat",H8*'Prices_Yields&amp;SeedInputs'!J$24,0)</f>
        <v>0</v>
      </c>
      <c r="DJ8" s="1">
        <f>IF($D8="HR Winter Wheat",H8*'Prices_Yields&amp;SeedInputs'!J$25,0)</f>
        <v>0</v>
      </c>
      <c r="DK8" s="1">
        <f>IF($D8="Winter Pea",H8*'Prices_Yields&amp;SeedInputs'!J$26,0)</f>
        <v>0</v>
      </c>
      <c r="DL8" s="1">
        <f>IF($D8="Winter Canola",H8*'Prices_Yields&amp;SeedInputs'!J$27,0)</f>
        <v>0</v>
      </c>
      <c r="DM8" s="322">
        <f>IF($D8="Forage Crop-Soil Builder Blend",H8*'Prices_Yields&amp;SeedInputs'!J$28,0)</f>
        <v>0</v>
      </c>
      <c r="DN8" s="1">
        <f>IF($D8="SW Winter Wheat after Spring Legume",$H8*SWWinterWheatAfterSpringLegume!$F$135,0)</f>
        <v>0</v>
      </c>
      <c r="DO8" s="1">
        <f>IF($D8="SW Winter Wheat after Forage Crop",$H8*SWWinterWheatAfterForageCrop!$F$135,0)</f>
        <v>0</v>
      </c>
      <c r="DP8" s="1">
        <f>IF($D8="DN Spring Wheat after Spring Legume",$H8*DNSpringWinterAfterSpringLegume!$F$135,0)</f>
        <v>0</v>
      </c>
      <c r="DQ8" s="1">
        <f>IF($D8="DN Spring Wheat after Forage Crop",$H8*DNSpringWheatAfterForageCrop!$F$135,0)</f>
        <v>0</v>
      </c>
      <c r="DR8" s="1">
        <f>IF($D8="DN Spring Wheat after Winter Crop",$H8*DNSpringWheatAfterWinterCrop!$F$135,0)</f>
        <v>0</v>
      </c>
      <c r="DS8" s="1">
        <f>IF($D8="Chickpea after Forage Crop",$H8*ChickpeaAfterForageCrop!$F$135,0)</f>
        <v>0</v>
      </c>
      <c r="DT8" s="1">
        <f>IF($D8="Chickpea after Cereal",$H8*ChickpeaAfterCereal!$F$135,0)</f>
        <v>0</v>
      </c>
      <c r="DU8" s="1">
        <f>IF($D8="Spring Pea after Cereal",$H8*SpringPeaAfterCereal!$F$135,0)</f>
        <v>0</v>
      </c>
      <c r="DV8" s="1">
        <f>IF($D8="Forage Crop-St. John Area",$H8*'ForageCrop-StJohn'!$F$135,0)</f>
        <v>0</v>
      </c>
      <c r="DW8" s="1">
        <f>IF($D8="Forage Crop-Genesee Area",$H8*'ForageCrop-Genesee'!$F$135,0)</f>
        <v>0</v>
      </c>
      <c r="DX8" s="1">
        <f>IF($D8="Livestock Grazing",$H8*LivestockGrazing!$F$135,0)</f>
        <v>0</v>
      </c>
      <c r="DY8" s="1">
        <f>IF($D8="SW Winter Wheat after Cereal",$H8*SWWinterWheatafterCereal!$F$135,0)</f>
        <v>0</v>
      </c>
      <c r="DZ8" s="1">
        <f>IF($D8="SW Winter Wheat after Fallow",$H8*SWWinterWheatAfterFallow!$F$135,0)</f>
        <v>0</v>
      </c>
      <c r="EA8" s="1">
        <f>IF($D8="Chem-Fallow",$H8*'Chem-Fallow'!$F$135,0)</f>
        <v>0</v>
      </c>
      <c r="EB8" s="1">
        <f>IF($D8="Flex-Fallow",$H8*'Flex-Fallow'!$F$135,0)</f>
        <v>0</v>
      </c>
      <c r="EC8" s="1">
        <f>IF($D8="Spring Barley",$H8*SpringBarley!$F$135,0)</f>
        <v>0</v>
      </c>
      <c r="ED8" s="1">
        <f>IF($D8="Roundup Ready Spring Canola",$H8*'SpringCanola_R-Ready'!$F$135,0)</f>
        <v>0</v>
      </c>
      <c r="EE8" s="1">
        <f>IF($D8="Spring Canola",$H8*SpringCanola!$F$135,0)</f>
        <v>0</v>
      </c>
      <c r="EF8" s="1">
        <f>IF($D8="Spring Lentils",$H8*SpringLentils!$F$135,0)</f>
        <v>0</v>
      </c>
      <c r="EG8" s="1">
        <f>IF($D8="SW Spring Wheat",$H8*SWSpringWheat!$F$135,0)</f>
        <v>0</v>
      </c>
      <c r="EH8" s="1">
        <f>IF($D8="HR Winter Wheat",$H8*HRWinterWheat!$F$135,0)</f>
        <v>0</v>
      </c>
      <c r="EI8" s="1">
        <f>IF($D8="Winter Pea",$H8*WinterPea!$F$135,0)</f>
        <v>0</v>
      </c>
      <c r="EJ8" s="1">
        <f>IF($D8="Winter Canola",$H8*WinterCanola!$F$135,0)</f>
        <v>0</v>
      </c>
      <c r="EK8" s="322">
        <f>IF($D8="Forage Crop-Soil Builder Blend",$H8*ForageCrop!$F$135,0)</f>
        <v>0</v>
      </c>
      <c r="EL8" s="1">
        <f>IF($D8="SW Winter Wheat after Spring Legume",$H8*SWWinterWheatAfterSpringLegume!$J$116,0)</f>
        <v>0</v>
      </c>
      <c r="EM8" s="1">
        <f>IF($D8="SW Winter Wheat after Forage Crop",$H8*SWWinterWheatAfterForageCrop!$J$116,0)</f>
        <v>0</v>
      </c>
      <c r="EN8" s="1">
        <f>IF($D8="DN Spring Wheat after Spring Legume",$H8*DNSpringWinterAfterSpringLegume!$J$116,0)</f>
        <v>0</v>
      </c>
      <c r="EO8" s="1">
        <f>IF($D8="DN Spring Wheat after Forage Crop",$H8*DNSpringWheatAfterForageCrop!$J$116,0)</f>
        <v>0</v>
      </c>
      <c r="EP8" s="1">
        <f>IF($D8="DN Spring Wheat after Winter Crop",$H8*DNSpringWheatAfterWinterCrop!$J$116,0)</f>
        <v>0</v>
      </c>
      <c r="EQ8" s="1">
        <f>IF($D8="Chickpea after Forage Crop",$H8*ChickpeaAfterForageCrop!$J$116,0)</f>
        <v>0</v>
      </c>
      <c r="ER8" s="1">
        <f>IF($D8="Chickpea after Cereal",$H8*ChickpeaAfterCereal!$J$116,0)</f>
        <v>0</v>
      </c>
      <c r="ES8" s="1">
        <f>IF($D8="Spring Pea after Cereal",$H8*SpringPeaAfterCereal!$J$116,0)</f>
        <v>0</v>
      </c>
      <c r="ET8" s="1">
        <f>IF($D8="Forage Crop-St. John Area",$H8*'ForageCrop-StJohn'!$J$116,0)</f>
        <v>0</v>
      </c>
      <c r="EU8" s="1">
        <f>IF($D8="Forage Crop-Genesee Area",$H8*'ForageCrop-Genesee'!$J$116,0)</f>
        <v>0</v>
      </c>
      <c r="EV8" s="1">
        <f>IF($D8="Livestock Grazing",$H8*LivestockGrazing!$J$116,0)</f>
        <v>0</v>
      </c>
      <c r="EW8" s="1">
        <f>IF($D8="SW Winter Wheat after Cereal",$H8*SWWinterWheatafterCereal!$J$116,0)</f>
        <v>0</v>
      </c>
      <c r="EX8" s="1">
        <f>IF($D8="SW Winter Wheat after Fallow",$H8*SWWinterWheatAfterFallow!$J$116,0)</f>
        <v>0</v>
      </c>
      <c r="EY8" s="1">
        <f>IF($D8="Chem-Fallow",$H8*'Chem-Fallow'!$J$116,0)</f>
        <v>0</v>
      </c>
      <c r="EZ8" s="1">
        <f>IF($D8="Flex-Fallow",$H8*'Flex-Fallow'!$J$116,0)</f>
        <v>0</v>
      </c>
      <c r="FA8" s="1">
        <f>IF($D8="Spring Barley",$H8*SpringBarley!$J$116,0)</f>
        <v>0</v>
      </c>
      <c r="FB8" s="1">
        <f>IF($D8="Roundup Ready Spring Canola",$H8*'SpringCanola_R-Ready'!$J$116,0)</f>
        <v>0</v>
      </c>
      <c r="FC8" s="1">
        <f>IF($D8="Spring Canola",$H8*SpringCanola!$J$116,0)</f>
        <v>0</v>
      </c>
      <c r="FD8" s="1">
        <f>IF($D8="Spring Lentils",$H8*SpringLentils!$J$116,0)</f>
        <v>0</v>
      </c>
      <c r="FE8" s="1">
        <f>IF($D8="SW Spring Wheat",$H8*SWSpringWheat!$J$116,0)</f>
        <v>0</v>
      </c>
      <c r="FF8" s="1">
        <f>IF($D8="HR Winter Wheat",$H8*HRWinterWheat!$J$116,0)</f>
        <v>0</v>
      </c>
      <c r="FG8" s="1">
        <f>IF($D8="Winter Pea",$H8*WinterPea!$J$116,0)</f>
        <v>0</v>
      </c>
      <c r="FH8" s="1">
        <f>IF($D8="Winter Canola",$H8*WinterCanola!$J$116,0)</f>
        <v>0</v>
      </c>
      <c r="FI8" s="322">
        <f>IF($D8="Forage Crop-Soil Builder Blend",$H8*ForageCrop!$J$116,0)</f>
        <v>0</v>
      </c>
      <c r="FJ8" s="1">
        <f>IF($D8="SW Winter Wheat after Spring Legume",$H8*SWWinterWheatAfterSpringLegume!$J$117,0)</f>
        <v>0</v>
      </c>
      <c r="FK8" s="1">
        <f>IF($D8="SW Winter Wheat after Forage Crop",$H8*SWWinterWheatAfterForageCrop!$J$117,0)</f>
        <v>0</v>
      </c>
      <c r="FL8" s="1">
        <f>IF($D8="DN Spring Wheat after Spring Legume",$H8*DNSpringWinterAfterSpringLegume!$J$117,0)</f>
        <v>0</v>
      </c>
      <c r="FM8" s="1">
        <f>IF($D8="DN Spring Wheat after Forage Crop",$H8*DNSpringWheatAfterForageCrop!$J$117,0)</f>
        <v>0</v>
      </c>
      <c r="FN8" s="1">
        <f>IF($D8="DN Spring Wheat after Winter Crop",$H8*DNSpringWheatAfterWinterCrop!$J$117,0)</f>
        <v>0</v>
      </c>
      <c r="FO8" s="1">
        <f>IF($D8="Chickpea after Forage Crop",$H8*ChickpeaAfterForageCrop!$J$117,0)</f>
        <v>0</v>
      </c>
      <c r="FP8" s="1">
        <f>IF($D8="Chickpea after Cereal",$H8*ChickpeaAfterCereal!$J$117,0)</f>
        <v>0</v>
      </c>
      <c r="FQ8" s="1">
        <f>IF($D8="Spring Pea after Cereal",$H8*SpringPeaAfterCereal!$J$117,0)</f>
        <v>0</v>
      </c>
      <c r="FR8" s="1">
        <f>IF($D8="Forage Crop-St. John Area",$H8*'ForageCrop-StJohn'!$J$117,0)</f>
        <v>0</v>
      </c>
      <c r="FS8" s="1">
        <f>IF($D8="Forage Crop-Genesee Area",$H8*'ForageCrop-Genesee'!$J$117,0)</f>
        <v>0</v>
      </c>
      <c r="FT8" s="1">
        <f>IF($D8="Livestock Grazing",$H8*LivestockGrazing!$J$117,0)</f>
        <v>0</v>
      </c>
      <c r="FU8" s="1">
        <f>IF($D8="SW Winter Wheat after Cereal",$H8*SWWinterWheatafterCereal!$J$117,0)</f>
        <v>0</v>
      </c>
      <c r="FV8" s="1">
        <f>IF($D8="SW Winter Wheat after Fallow",$H8*SWWinterWheatAfterFallow!$J$117,0)</f>
        <v>0</v>
      </c>
      <c r="FW8" s="1">
        <f>IF($D8="Chem-Fallow",$H8*'Chem-Fallow'!$J$117,0)</f>
        <v>0</v>
      </c>
      <c r="FX8" s="1">
        <f>IF($D8="Flex-Fallow",$H8*'Flex-Fallow'!$J$117,0)</f>
        <v>0</v>
      </c>
      <c r="FY8" s="1">
        <f>IF($D8="Spring Barley",$H8*SpringBarley!$J$117,0)</f>
        <v>0</v>
      </c>
      <c r="FZ8" s="1">
        <f>IF($D8="Roundup Ready Spring Canola",$H8*'SpringCanola_R-Ready'!$J$117,0)</f>
        <v>0</v>
      </c>
      <c r="GA8" s="1">
        <f>IF($D8="Spring Canola",$H8*SpringCanola!$J$117,0)</f>
        <v>0</v>
      </c>
      <c r="GB8" s="1">
        <f>IF($D8="Spring Lentils",$H8*SpringLentils!$J$117,0)</f>
        <v>0</v>
      </c>
      <c r="GC8" s="1">
        <f>IF($D8="SW Spring Wheat",$H8*SWSpringWheat!$J$117,0)</f>
        <v>0</v>
      </c>
      <c r="GD8" s="1">
        <f>IF($D8="HR Winter Wheat",$H8*HRWinterWheat!$J$117,0)</f>
        <v>0</v>
      </c>
      <c r="GE8" s="1">
        <f>IF($D8="Winter Pea",$H8*WinterPea!$J$117,0)</f>
        <v>0</v>
      </c>
      <c r="GF8" s="1">
        <f>IF($D8="Winter Canola",$H8*WinterCanola!$J$117,0)</f>
        <v>0</v>
      </c>
      <c r="GG8" s="322">
        <f>IF($D8="Forage Crop-Soil Builder Blend",$H8*ForageCrop!$J$117,0)</f>
        <v>0</v>
      </c>
      <c r="GH8" s="1">
        <f>IF($D8="SW Winter Wheat after Spring Legume",$H8*SWWinterWheatAfterSpringLegume!$J$118,0)</f>
        <v>0</v>
      </c>
      <c r="GI8" s="1">
        <f>IF($D8="SW Winter Wheat after Forage Crop",$H8*SWWinterWheatAfterForageCrop!$J$118,0)</f>
        <v>0</v>
      </c>
      <c r="GJ8" s="1">
        <f>IF($D8="DN Spring Wheat after Spring Legume",$H8*DNSpringWinterAfterSpringLegume!$J$118,0)</f>
        <v>0</v>
      </c>
      <c r="GK8" s="1">
        <f>IF($D8="DN Spring Wheat after Forage Crop",$H8*DNSpringWheatAfterForageCrop!$J$118,0)</f>
        <v>0</v>
      </c>
      <c r="GL8" s="1">
        <f>IF($D8="DN Spring Wheat after Winter Crop",$H8*DNSpringWheatAfterWinterCrop!$J$118,0)</f>
        <v>0</v>
      </c>
      <c r="GM8" s="1">
        <f>IF($D8="Chickpea after Forage Crop",$H8*ChickpeaAfterForageCrop!$J$118,0)</f>
        <v>0</v>
      </c>
      <c r="GN8" s="1">
        <f>IF($D8="Chickpea after Cereal",$H8*ChickpeaAfterCereal!$J$118,0)</f>
        <v>0</v>
      </c>
      <c r="GO8" s="1">
        <f>IF($D8="Spring Pea after Cereal",$H8*SpringPeaAfterCereal!$J$118,0)</f>
        <v>0</v>
      </c>
      <c r="GP8" s="1">
        <f>IF($D8="Forage Crop-St. John Area",$H8*'ForageCrop-StJohn'!$J$118,0)</f>
        <v>0</v>
      </c>
      <c r="GQ8" s="1">
        <f>IF($D8="Forage Crop-Genesee Area",$H8*'ForageCrop-Genesee'!$J$118,0)</f>
        <v>0</v>
      </c>
      <c r="GR8" s="1">
        <f>IF($D8="Livestock Grazing",$H8*LivestockGrazing!$J$118,0)</f>
        <v>0</v>
      </c>
      <c r="GS8" s="1">
        <f>IF($D8="SW Winter Wheat after Cereal",$H8*SWWinterWheatafterCereal!$J$118,0)</f>
        <v>0</v>
      </c>
      <c r="GT8" s="1">
        <f>IF($D8="SW Winter Wheat after Fallow",$H8*SWWinterWheatAfterFallow!$J$118,0)</f>
        <v>0</v>
      </c>
      <c r="GU8" s="1">
        <f>IF($D8="Chem-Fallow",$H8*'Chem-Fallow'!$J$118,0)</f>
        <v>0</v>
      </c>
      <c r="GV8" s="1">
        <f>IF($D8="Flex-Fallow",$H8*'Flex-Fallow'!$J$118,0)</f>
        <v>0</v>
      </c>
      <c r="GW8" s="1">
        <f>IF($D8="Spring Barley",$H8*SpringBarley!$J$118,0)</f>
        <v>0</v>
      </c>
      <c r="GX8" s="1">
        <f>IF($D8="Roundup Ready Spring Canola",$H8*'SpringCanola_R-Ready'!$J$118,0)</f>
        <v>0</v>
      </c>
      <c r="GY8" s="1">
        <f>IF($D8="Spring Canola",$H8*SpringCanola!$J$118,0)</f>
        <v>0</v>
      </c>
      <c r="GZ8" s="1">
        <f>IF($D8="Spring Lentils",$H8*SpringLentils!$J$118,0)</f>
        <v>0</v>
      </c>
      <c r="HA8" s="1">
        <f>IF($D8="SW Spring Wheat",$H8*SWSpringWheat!$J$118,0)</f>
        <v>0</v>
      </c>
      <c r="HB8" s="1">
        <f>IF($D8="HR Winter Wheat",$H8*HRWinterWheat!$J$118,0)</f>
        <v>0</v>
      </c>
      <c r="HC8" s="1">
        <f>IF($D8="Winter Pea",$H8*WinterPea!$J$118,0)</f>
        <v>0</v>
      </c>
      <c r="HD8" s="1">
        <f>IF($D8="Winter Canola",$H8*WinterCanola!$J$118,0)</f>
        <v>0</v>
      </c>
      <c r="HE8" s="322">
        <f>IF($D8="Forage Crop-Soil Builder Blend",$H8*ForageCrop!$J$118,0)</f>
        <v>0</v>
      </c>
      <c r="HF8" s="1">
        <f>IF($D8="SW Winter Wheat after Spring Legume",($H8*(SUM(SWWinterWheatAfterSpringLegume!$E$9:$E$16)+SWWinterWheatAfterSpringLegume!$G$16))/2000,0)</f>
        <v>0</v>
      </c>
      <c r="HG8" s="1">
        <f>IF($D8="SW Winter Wheat after Forage Crop",($H8*(SUM(SWWinterWheatAfterForageCrop!$E$9:$E$16)+SWWinterWheatAfterForageCrop!$G$17))/2000,0)</f>
        <v>0</v>
      </c>
      <c r="HH8" s="1">
        <f>IF($D8="DN Spring Wheat after Spring Legume",($H8*(SUM(DNSpringWinterAfterSpringLegume!$E$9:$E$16)+DNSpringWinterAfterSpringLegume!$G$16))/2000,0)</f>
        <v>0</v>
      </c>
      <c r="HI8" s="1">
        <f>IF($D8="DN Spring Wheat after Forage Crop",($H8*(SUM(DNSpringWheatAfterForageCrop!$E$9:$E$16)+DNSpringWheatAfterForageCrop!$G$14))/2000,0)</f>
        <v>0</v>
      </c>
      <c r="HJ8" s="1">
        <f>IF($D8="DN Spring Wheat after Winter Crop",($H8*(SUM(DNSpringWheatAfterWinterCrop!$E$9:$E$16)+DNSpringWheatAfterWinterCrop!$G$16))/2000,0)</f>
        <v>0</v>
      </c>
      <c r="HK8" s="1">
        <f>IF($D8="Chickpea after Forage Crop",($H8*(SUM(ChickpeaAfterForageCrop!$E$9:$E$16)+ChickpeaAfterForageCrop!$G$14))/2000,0)</f>
        <v>0</v>
      </c>
      <c r="HL8" s="1">
        <f>IF($D8="Chickpea after Cereal",($H8*(SUM(ChickpeaAfterCereal!$E$9:$E$16)+ChickpeaAfterCereal!$G$14))/2000,0)</f>
        <v>0</v>
      </c>
      <c r="HM8" s="1">
        <f>IF($D8="Spring Pea after Cereal",($H8*(SUM(SpringPeaAfterCereal!$E$9:$E$16)+SpringPeaAfterCereal!$G$14))/2000,0)</f>
        <v>0</v>
      </c>
      <c r="HN8" s="1">
        <f>IF($D8="Forage Crop-St. John Area",($H8*(SUM('ForageCrop-StJohn'!$E$9:$E$16)+'ForageCrop-StJohn'!$G$14))/2000,0)</f>
        <v>0</v>
      </c>
      <c r="HO8" s="1">
        <f>IF($D8="Forage Crop-Genesee Area",($H8*(SUM('ForageCrop-Genesee'!$E$9:$E$16)+'ForageCrop-Genesee'!$G$14))/2000,0)</f>
        <v>0</v>
      </c>
      <c r="HP8" s="1">
        <f>IF($D8="Livestock Grazing",($H8*(SUM(LivestockGrazing!$E$9:$E$16)+LivestockGrazing!$G$14))/2000,0)</f>
        <v>0</v>
      </c>
      <c r="HQ8" s="1">
        <f>IF($D8="SW Winter Wheat after Cereal",($H8*(SUM(SWWinterWheatafterCereal!$E$9:$E$16)+SWWinterWheatafterCereal!$G$16))/2000,0)</f>
        <v>0</v>
      </c>
      <c r="HR8" s="1">
        <f>IF($D8="SW Winter Wheat after Fallow",($H8*(SUM(SWWinterWheatAfterFallow!$E$9:$E$16)+SWWinterWheatAfterFallow!$G$14))/2000,0)</f>
        <v>0</v>
      </c>
      <c r="HS8" s="1">
        <f>IF($D8="Chem-Fallow",($H8*(SUM('Chem-Fallow'!$E$9:$E$16)+'Chem-Fallow'!$G$16))/2000,0)</f>
        <v>0</v>
      </c>
      <c r="HT8" s="1">
        <f>IF($D8="Flex-Fallow",($H8*(SUM('Flex-Fallow'!$E$9:$E$16)+'Flex-Fallow'!$G$16))/2000,0)</f>
        <v>0</v>
      </c>
      <c r="HU8" s="1">
        <f>IF($D8="Spring Barley",($H8*(SUM(SpringBarley!$E$9:$E$16)+SpringBarley!$G$16))/2000,0)</f>
        <v>0</v>
      </c>
      <c r="HV8" s="1">
        <f>IF($D8="Roundup Ready Spring Canola",($H8*(SUM('SpringCanola_R-Ready'!$E$9:$E$16)+'SpringCanola_R-Ready'!$G$14))/2000,0)</f>
        <v>0</v>
      </c>
      <c r="HW8" s="1">
        <f>IF($D8="Spring Canola",($H8*(SUM(SpringCanola!$E$9:$E$16)+SpringCanola!$G$14))/2000,0)</f>
        <v>0</v>
      </c>
      <c r="HX8" s="1">
        <f>IF($D8="Spriing Lentils",($H8*(SUM(SpringLentils!$E$9:$E$16)+SpringLentils!$G$14))/2000,0)</f>
        <v>0</v>
      </c>
      <c r="HY8" s="1">
        <f>IF($D8="SW Spring Wheat",($H8*(SUM(SWSpringWheat!$E$9:$E$16)+SWSpringWheat!$G$18))/2000,0)</f>
        <v>0</v>
      </c>
      <c r="HZ8" s="1">
        <f>IF($D8="HR Winter Wheat",($H8*(SUM(HRWinterWheat!$E$9:$E$16)+HRWinterWheat!$G$16))/2000,0)</f>
        <v>0</v>
      </c>
      <c r="IA8" s="1">
        <f>IF($D8="Winter Pea",($H8*(SUM(WinterPea!$E$9:$E$16)+WinterPea!$G$14))/2000,0)</f>
        <v>0</v>
      </c>
      <c r="IB8" s="1">
        <f>IF($D8="Winter Canola",($H8*(SUM(WinterCanola!$E$9:$E$16)+WinterCanola!$G$14))/2000,0)</f>
        <v>0</v>
      </c>
      <c r="IC8" s="322">
        <f>IF($D8="Forage Crop-Soil Builder Blend",($H8*(SUM(ForageCrop!$E$9:$E$16)+ForageCrop!$G$14))/2000,0)</f>
        <v>0</v>
      </c>
      <c r="ID8" s="1">
        <f>IF($D8="SW Winter Wheat after Spring Legume",$H8*SWWinterWheatAfterSpringLegume!$G$62,0)</f>
        <v>0</v>
      </c>
      <c r="IE8" s="1">
        <f>IF($D8="SW Winter Wheat after Forage Crop",$H8*SWWinterWheatAfterForageCrop!$G$62,0)</f>
        <v>0</v>
      </c>
      <c r="IF8" s="1">
        <f>IF($D8="DN Spring Wheat after Spring Legume",$H8*DNSpringWinterAfterSpringLegume!$G$62,0)</f>
        <v>0</v>
      </c>
      <c r="IG8" s="1">
        <f>IF($D8="DN Spring Wheat after Forage Crop",$H8*DNSpringWheatAfterForageCrop!$G$62,0)</f>
        <v>0</v>
      </c>
      <c r="IH8" s="1">
        <f>IF($D8="DN Spring Wheat after Winter Crop",$H8*DNSpringWheatAfterWinterCrop!$G$62,0)</f>
        <v>0</v>
      </c>
      <c r="II8" s="1">
        <f>IF($D8="Chickpea after Forage Crop",$H8*ChickpeaAfterForageCrop!$G$62,0)</f>
        <v>0</v>
      </c>
      <c r="IJ8" s="1">
        <f>IF($D8="Chickpea after Cereal",$H8*ChickpeaAfterCereal!$G$62,0)</f>
        <v>0</v>
      </c>
      <c r="IK8" s="1">
        <f>IF($D8="Spring Pea after Cereal",$H8*SpringPeaAfterCereal!$G$62,0)</f>
        <v>0</v>
      </c>
      <c r="IL8" s="1">
        <f>IF($D8="Forage Crop-St. John Area",$H8*'ForageCrop-StJohn'!$G$62,0)</f>
        <v>0</v>
      </c>
      <c r="IM8" s="1">
        <f>IF($D8="Forage Crop-Genesee Area",$H8*'ForageCrop-Genesee'!$G$62,0)</f>
        <v>0</v>
      </c>
      <c r="IN8" s="1">
        <f>IF($D8="Livestock Grazing",$H8*LivestockGrazing!$G$62,0)</f>
        <v>0</v>
      </c>
      <c r="IO8" s="1">
        <f>IF($D8="SW Winter Wheat after Cereal",$H8*SWWinterWheatafterCereal!$G$62,0)</f>
        <v>0</v>
      </c>
      <c r="IP8" s="1">
        <f>IF($D8="SW Winter Wheat after Fallow",$H8*SWWinterWheatAfterFallow!$G$62,0)</f>
        <v>0</v>
      </c>
      <c r="IQ8" s="1">
        <f>IF($D8="Chem-Fallow",$H8*'Chem-Fallow'!$G$62,0)</f>
        <v>0</v>
      </c>
      <c r="IR8" s="1">
        <f>IF($D8="Flex-Fallow",$H8*'Flex-Fallow'!$G$62,0)</f>
        <v>0</v>
      </c>
      <c r="IS8" s="1">
        <f>IF($D8="Spring Barley",$H8*SpringBarley!$G$62,0)</f>
        <v>0</v>
      </c>
      <c r="IT8" s="1">
        <f>IF($D8="Roundup Ready Spring Canola",$H8*'SpringCanola_R-Ready'!$G$62,0)</f>
        <v>0</v>
      </c>
      <c r="IU8" s="1">
        <f>IF($D8="Spring Canola",$H8*SpringCanola!$G$62,0)</f>
        <v>0</v>
      </c>
      <c r="IV8" s="1">
        <f>IF($D8="Spriing Lentils",$H8*SpringLentils!$G$62,0)</f>
        <v>0</v>
      </c>
      <c r="IW8" s="1">
        <f>IF($D8="SW Spring Wheat",$H8*SWSpringWheat!$G$62,0)</f>
        <v>0</v>
      </c>
      <c r="IX8" s="1">
        <f>IF($D8="HR Winter Wheat",$H8*HRWinterWheat!$G$62,0)</f>
        <v>0</v>
      </c>
      <c r="IY8" s="1">
        <f>IF($D8="Winter Pea",$H8*WinterPea!$G$62,0)</f>
        <v>0</v>
      </c>
      <c r="IZ8" s="1">
        <f>IF($D8="Winter Canola",$H8*+WinterCanola!$G$62,0)</f>
        <v>0</v>
      </c>
      <c r="JA8" s="1">
        <f>IF($D8="Forage Crop-Soil Builder Blend",$H8*ForageCrop!$G$62,0)</f>
        <v>0</v>
      </c>
      <c r="JB8" s="1">
        <f>IF($D8="SW Winter Wheat after Spring Legume",$H8*'Prices_Yields&amp;SeedInputs'!E5,0)</f>
        <v>0</v>
      </c>
      <c r="JC8" s="1">
        <f>IF($D8="SW Winter Wheat after Forage Crop",$H8*'Prices_Yields&amp;SeedInputs'!E6,0)</f>
        <v>0</v>
      </c>
      <c r="JD8" s="1">
        <f>IF($D8="DN Spring Wheat after Spring Legume",$H8*'Prices_Yields&amp;SeedInputs'!E$7,0)</f>
        <v>0</v>
      </c>
      <c r="JE8" s="1">
        <f>IF($D8="DN Spring Wheat after Forage Crop",$H8*'Prices_Yields&amp;SeedInputs'!E$8,0)</f>
        <v>0</v>
      </c>
      <c r="JF8" s="1">
        <f>IF($D8="DN Spring Wheat after Winter Crop",$H8*'Prices_Yields&amp;SeedInputs'!E$9,0)</f>
        <v>0</v>
      </c>
      <c r="JG8" s="1">
        <f>IF($D8="Chickpea after Forage Crop",$H8*'Prices_Yields&amp;SeedInputs'!E$10,0)</f>
        <v>0</v>
      </c>
      <c r="JH8" s="1">
        <f>IF($D8="Chickpea after Cereal",$H8*'Prices_Yields&amp;SeedInputs'!E$11,0)</f>
        <v>0</v>
      </c>
      <c r="JI8" s="1">
        <f>IF($D8="Spring Pea after Cereal",$H8*'Prices_Yields&amp;SeedInputs'!E$12,0)</f>
        <v>0</v>
      </c>
      <c r="JJ8" s="1">
        <f>IF($D8="Forage Crop-St. John Area",$H8*'Prices_Yields&amp;SeedInputs'!E$13,0)</f>
        <v>0</v>
      </c>
      <c r="JK8" s="1">
        <f>IF($D8="Forage Crop-Genesee Area",$H8*'Prices_Yields&amp;SeedInputs'!E$14,0)</f>
        <v>0</v>
      </c>
      <c r="JL8" s="1">
        <f>IF($D8="Livestock Grazing",$H8*'Prices_Yields&amp;SeedInputs'!E$15,0)</f>
        <v>0</v>
      </c>
      <c r="JM8" s="1">
        <f>IF($D8="SW Winter Wheat after Cereal",$H8*'Prices_Yields&amp;SeedInputs'!E$16,0)</f>
        <v>0</v>
      </c>
      <c r="JN8" s="1">
        <f>IF($D8="SW Winter Wheat after Fallow",$H8*'Prices_Yields&amp;SeedInputs'!E$17,0)</f>
        <v>0</v>
      </c>
      <c r="JO8" s="1">
        <f>IF($D8="Chem-Fallow",$H8*'Prices_Yields&amp;SeedInputs'!E$18,0)</f>
        <v>0</v>
      </c>
      <c r="JP8" s="1">
        <f>IF($D8="Flex-Fallow",$H8*'Prices_Yields&amp;SeedInputs'!E$19,0)</f>
        <v>0</v>
      </c>
      <c r="JQ8" s="1">
        <f>IF($D8="Spring Barley",$H8*'Prices_Yields&amp;SeedInputs'!E$20,0)</f>
        <v>0</v>
      </c>
      <c r="JR8" s="1">
        <f>IF($D8="Roundup Ready Spring Canola",$H8*'Prices_Yields&amp;SeedInputs'!E$21,0)</f>
        <v>0</v>
      </c>
      <c r="JS8" s="1">
        <f>IF($D8="Spring Canola",$H8*'Prices_Yields&amp;SeedInputs'!E$22,0)</f>
        <v>0</v>
      </c>
      <c r="JT8" s="1">
        <f>IF($D8="Spriing Lentils",$H8*'Prices_Yields&amp;SeedInputs'!E$23,0)</f>
        <v>0</v>
      </c>
      <c r="JU8" s="1">
        <f>IF($D8="SW Spring Wheat",$H8*'Prices_Yields&amp;SeedInputs'!E$24,0)</f>
        <v>0</v>
      </c>
      <c r="JV8" s="1">
        <f>IF($D8="HR Winter Wheat",$H8*'Prices_Yields&amp;SeedInputs'!E$25,0)</f>
        <v>0</v>
      </c>
      <c r="JW8" s="1">
        <f>IF($D8="Winter Pea",$H8*'Prices_Yields&amp;SeedInputs'!E$26,0)</f>
        <v>0</v>
      </c>
      <c r="JX8" s="1">
        <f>IF($D8="Winter Canola",$H8*'Prices_Yields&amp;SeedInputs'!E$27,0)</f>
        <v>0</v>
      </c>
      <c r="JY8" s="1">
        <f>IF($D8="Forage Crop-Soil Builder Blend",$H8*'Prices_Yields&amp;SeedInputs'!E$28,0)</f>
        <v>0</v>
      </c>
    </row>
    <row r="9" spans="1:288" ht="20" customHeight="1">
      <c r="A9" s="3"/>
      <c r="B9" s="622"/>
      <c r="C9" s="242">
        <v>5</v>
      </c>
      <c r="D9" s="149"/>
      <c r="E9" s="150">
        <v>0</v>
      </c>
      <c r="F9" s="304">
        <f>IF(D9="Livestock Grazing",0,E9)</f>
        <v>0</v>
      </c>
      <c r="G9" s="151">
        <f>IF(D9="Livestock Grazing",0,$I$2*E9)</f>
        <v>0</v>
      </c>
      <c r="H9" s="307">
        <f>$I$2*E9</f>
        <v>0</v>
      </c>
      <c r="I9" s="152">
        <f>SUM(AT9:BQ9)</f>
        <v>0</v>
      </c>
      <c r="J9" s="140"/>
      <c r="M9" s="197"/>
      <c r="N9" s="5" t="s">
        <v>102</v>
      </c>
      <c r="O9" s="200">
        <v>16129.898273330997</v>
      </c>
      <c r="P9" s="200">
        <f>SUM('Farm and Rotation Setup'!GH5:HE9)</f>
        <v>44282.181267280386</v>
      </c>
      <c r="Q9" s="197">
        <f t="shared" si="0"/>
        <v>1.745347832757016</v>
      </c>
      <c r="R9" s="197"/>
      <c r="S9" s="197"/>
      <c r="T9" s="195"/>
      <c r="U9" s="140"/>
      <c r="V9" s="1">
        <f>IF($D9="SW Winter Wheat after Spring Legume",$H9,0)</f>
        <v>0</v>
      </c>
      <c r="W9" s="1">
        <f>IF($D9="SW Winter Wheat after Forage Crop",$H9,0)</f>
        <v>0</v>
      </c>
      <c r="X9" s="1">
        <f>IF($D9="DN Spring Wheat after Spring Legume",$H9,0)</f>
        <v>0</v>
      </c>
      <c r="Y9" s="1">
        <f>IF($D9="DN Spring Wheat after Forage Crop",$H9,0)</f>
        <v>0</v>
      </c>
      <c r="Z9" s="1">
        <f>IF($D9="DN Spring Wheat after Winter Crop",$H9,0)</f>
        <v>0</v>
      </c>
      <c r="AA9" s="1">
        <f>IF($D9="Chickpea after Forage Crop",$H9,0)</f>
        <v>0</v>
      </c>
      <c r="AB9" s="1">
        <f>IF($D9="Chickpea after Cereal",$H9,0)</f>
        <v>0</v>
      </c>
      <c r="AC9" s="1">
        <f>IF($D9="Spring Pea after Cereal",$H9,0)</f>
        <v>0</v>
      </c>
      <c r="AD9" s="1">
        <f>IF($D9="Forage Crop-St. John Area",$H9,0)</f>
        <v>0</v>
      </c>
      <c r="AE9" s="1">
        <f>IF($D9="Forage Crop-Genesee Area",$H9,0)</f>
        <v>0</v>
      </c>
      <c r="AF9" s="1">
        <f>IF($D9="Livestock Grazing",$H9,0)</f>
        <v>0</v>
      </c>
      <c r="AG9" s="1">
        <f>IF($D9="SW Winter Wheat after Cereal",$H9,0)</f>
        <v>0</v>
      </c>
      <c r="AH9" s="1">
        <f>IF($D9="SW Winter Wheat after Fallow",$H9,0)</f>
        <v>0</v>
      </c>
      <c r="AI9" s="1">
        <f>IF($D9="Chem-Fallow",$H9,0)</f>
        <v>0</v>
      </c>
      <c r="AJ9" s="1">
        <f>IF($D9="Flex-Fallow",$H9,0)</f>
        <v>0</v>
      </c>
      <c r="AK9" s="1">
        <f>IF($D9="Spring Barley",$H9,0)</f>
        <v>0</v>
      </c>
      <c r="AL9" s="1">
        <f>IF($D9="Roundup Ready Spring Canola",$H9,0)</f>
        <v>0</v>
      </c>
      <c r="AM9" s="1">
        <f>IF($D9="Spring Canola",$H9,0)</f>
        <v>0</v>
      </c>
      <c r="AN9" s="1">
        <f>IF($D9="Spring Lentils",$H9,0)</f>
        <v>0</v>
      </c>
      <c r="AO9" s="1">
        <f>IF($D9="SW Spring Wheat",$H9,0)</f>
        <v>0</v>
      </c>
      <c r="AP9" s="1">
        <f>IF($D9="HR Winter Wheat",$H9,0)</f>
        <v>0</v>
      </c>
      <c r="AQ9" s="1">
        <f>IF($D9="Winter Pea",$H9,0)</f>
        <v>0</v>
      </c>
      <c r="AR9" s="1">
        <f>IF($D9="Winter Canola",$H9,0)</f>
        <v>0</v>
      </c>
      <c r="AS9" s="322">
        <f>IF($D9="Forage Crop-Soil Builder Blend",$H9,0)</f>
        <v>0</v>
      </c>
      <c r="AT9" s="1">
        <f>IF($D9="SW Winter Wheat after Spring Legume",SWWinterWheatAfterSpringLegume!$F$138,0)</f>
        <v>0</v>
      </c>
      <c r="AU9" s="1">
        <f>IF($D9="SW Winter Wheat after Forage Crop",SWWinterWheatAfterForageCrop!$F$138,0)</f>
        <v>0</v>
      </c>
      <c r="AV9" s="1">
        <f>IF($D9="DN Spring Wheat after Spring Legume",DNSpringWinterAfterSpringLegume!$F$138,0)</f>
        <v>0</v>
      </c>
      <c r="AW9" s="1">
        <f>IF($D9="DN Spring Wheat after Forage Crop",DNSpringWheatAfterForageCrop!$F$138,0)</f>
        <v>0</v>
      </c>
      <c r="AX9" s="1">
        <f>IF($D9="DN Spring Wheat after Winter Crop",DNSpringWheatAfterWinterCrop!$F$138,0)</f>
        <v>0</v>
      </c>
      <c r="AY9" s="1">
        <f>IF($D9="Chickpea after Forage Crop",ChickpeaAfterForageCrop!$F$138,0)</f>
        <v>0</v>
      </c>
      <c r="AZ9" s="1">
        <f>IF($D9="Chickpea after Cereal",ChickpeaAfterCereal!$F$138,0)</f>
        <v>0</v>
      </c>
      <c r="BA9" s="1">
        <f>IF($D9="Spring Pea after Cereal",SpringPeaAfterCereal!$F$138,0)</f>
        <v>0</v>
      </c>
      <c r="BB9" s="1">
        <f>IF($D9="Forage Crop-St. John Area",'ForageCrop-StJohn'!$F$138,0)</f>
        <v>0</v>
      </c>
      <c r="BC9" s="1">
        <f>IF($D9="Forage Crop-Genesee Area",'ForageCrop-Genesee'!$F$138,0)</f>
        <v>0</v>
      </c>
      <c r="BD9" s="1">
        <f>IF($D9="Livestock Grazing",LivestockGrazing!$F$138,0)</f>
        <v>0</v>
      </c>
      <c r="BE9" s="1">
        <f>IF($D9="SW Winter Wheat after Cereal",SWWinterWheatafterCereal!$F$138,0)</f>
        <v>0</v>
      </c>
      <c r="BF9" s="1">
        <f>IF($D9="SW Winter Wheat after Fallow",SWWinterWheatAfterFallow!$F$138,0)</f>
        <v>0</v>
      </c>
      <c r="BG9" s="1">
        <f>IF($D9="Chem-Fallow",'Chem-Fallow'!$F$138,0)</f>
        <v>0</v>
      </c>
      <c r="BH9" s="1">
        <f>IF($D9="Flex-Fallow",'Flex-Fallow'!$F$138,0)</f>
        <v>0</v>
      </c>
      <c r="BI9" s="1">
        <f>IF($D9="Spring Barley",SpringBarley!$F$138,0)</f>
        <v>0</v>
      </c>
      <c r="BJ9" s="1">
        <f>IF($D9="Roundup Ready Spring Canola",'SpringCanola_R-Ready'!$F$138,0)</f>
        <v>0</v>
      </c>
      <c r="BK9" s="1">
        <f>IF($D9="Spring Canola",SpringCanola!$F$138,0)</f>
        <v>0</v>
      </c>
      <c r="BL9" s="1">
        <f>IF($D9="Spring Lentils",SpringLentils!$F$138,0)</f>
        <v>0</v>
      </c>
      <c r="BM9" s="1">
        <f>IF($D9="SW Spring Wheat",SWSpringWheat!$F$138,0)</f>
        <v>0</v>
      </c>
      <c r="BN9" s="1">
        <f>IF($D9="HR Winter Wheat",HRWinterWheat!$F$138,0)</f>
        <v>0</v>
      </c>
      <c r="BO9" s="1">
        <f>IF($D9="Winter Pea",WinterPea!$F$138,0)</f>
        <v>0</v>
      </c>
      <c r="BP9" s="1">
        <f>IF($D9="Winter Canola",WinterCanola!$F$138,0)</f>
        <v>0</v>
      </c>
      <c r="BQ9" s="322">
        <f>IF($D9="Forage Crop-Soil Builder Blend",ForageCrop!$F$138,0)</f>
        <v>0</v>
      </c>
      <c r="BR9" s="1">
        <f>IF($D9="SW Winter Wheat after Spring Legume",H9*SWWinterWheatAfterSpringLegume!$F$138,0)</f>
        <v>0</v>
      </c>
      <c r="BS9" s="1">
        <f>IF($D9="SW Winter Wheat after Forage Crop",H9*SWWinterWheatAfterForageCrop!$F$138,0)</f>
        <v>0</v>
      </c>
      <c r="BT9" s="1">
        <f>IF($D9="DN Spring Wheat after Spring Legume",H9*DNSpringWinterAfterSpringLegume!$F$138,0)</f>
        <v>0</v>
      </c>
      <c r="BU9" s="1">
        <f>IF($D9="DN Spring Wheat after Forage Crop",H9*DNSpringWheatAfterForageCrop!$F$138,0)</f>
        <v>0</v>
      </c>
      <c r="BV9" s="1">
        <f>IF($D9="DN Spring Wheat after Winter Crop",H9*DNSpringWheatAfterWinterCrop!$F$138,0)</f>
        <v>0</v>
      </c>
      <c r="BW9" s="1">
        <f>IF($D9="Chickpea after Forage Crop",H9*ChickpeaAfterForageCrop!$F$138,0)</f>
        <v>0</v>
      </c>
      <c r="BX9" s="1">
        <f>IF($D9="Chickpea after Cereal",H9*ChickpeaAfterCereal!$F$138,0)</f>
        <v>0</v>
      </c>
      <c r="BY9" s="1">
        <f>IF($D9="Spring Pea after Cereal",H9*SpringPeaAfterCereal!$F$138,0)</f>
        <v>0</v>
      </c>
      <c r="BZ9" s="1">
        <f>IF($D9="Forage Crop-St. John Area",H9*'ForageCrop-StJohn'!$F$138,0)</f>
        <v>0</v>
      </c>
      <c r="CA9" s="1">
        <f>IF($D9="Forage Crop-Genesee Area",H9*'ForageCrop-Genesee'!$F$138,0)</f>
        <v>0</v>
      </c>
      <c r="CB9" s="1">
        <f>IF($D9="Livestock Grazing",H9*LivestockGrazing!$F$138,0)</f>
        <v>0</v>
      </c>
      <c r="CC9" s="1">
        <f>IF($D9="SW Winter Wheat after Cereal",H9*SWWinterWheatafterCereal!$F$138,0)</f>
        <v>0</v>
      </c>
      <c r="CD9" s="1">
        <f>IF($D9="SW Winter Wheat after Fallow",H9*SWWinterWheatAfterFallow!$F$138,0)</f>
        <v>0</v>
      </c>
      <c r="CE9" s="1">
        <f>IF($D9="Chem-Fallow",H9*'Chem-Fallow'!$F$138,0)</f>
        <v>0</v>
      </c>
      <c r="CF9" s="1">
        <f>IF($D9="Flex-Fallow",H9*'Flex-Fallow'!$F$138,0)</f>
        <v>0</v>
      </c>
      <c r="CG9" s="1">
        <f>IF($D9="Spring Barley",H9*SpringBarley!$F$138,0)</f>
        <v>0</v>
      </c>
      <c r="CH9" s="1">
        <f>IF($D9="Roundup Ready Spring Canola",H9*'SpringCanola_R-Ready'!$F$138,0)</f>
        <v>0</v>
      </c>
      <c r="CI9" s="1">
        <f>IF($D9="Spring Canola",H9*SpringCanola!$F$138,0)</f>
        <v>0</v>
      </c>
      <c r="CJ9" s="1">
        <f>IF($D9="Spring Lentils",H9*SpringLentils!$F$138,0)</f>
        <v>0</v>
      </c>
      <c r="CK9" s="1">
        <f>IF($D9="SW Spring Wheat",H9*SWSpringWheat!$F$138,0)</f>
        <v>0</v>
      </c>
      <c r="CL9" s="1">
        <f>IF($D9="HR Winter Wheat",H9*HRWinterWheat!$F$138,0)</f>
        <v>0</v>
      </c>
      <c r="CM9" s="1">
        <f>IF($D9="Winter Pea",H9*WinterPea!$F$138,0)</f>
        <v>0</v>
      </c>
      <c r="CN9" s="1">
        <f>IF($D9="Winter Canola",H9*WinterCanola!$F$138,0)</f>
        <v>0</v>
      </c>
      <c r="CO9" s="322">
        <f>IF($D9="Forage Crop-Soil Builder Blend",H9*ForageCrop!$F$138,0)</f>
        <v>0</v>
      </c>
      <c r="CP9" s="1">
        <f>IF($D9="SW Winter Wheat after Spring Legume",H9*'Prices_Yields&amp;SeedInputs'!J$5,0)</f>
        <v>0</v>
      </c>
      <c r="CQ9" s="1">
        <f>IF($D9="SW Winter Wheat after Forage Crop",H9*'Prices_Yields&amp;SeedInputs'!J$6,0)</f>
        <v>0</v>
      </c>
      <c r="CR9" s="1">
        <f>IF($D9="DN Spring Wheat after Spring Legume",H9*'Prices_Yields&amp;SeedInputs'!J$7,0)</f>
        <v>0</v>
      </c>
      <c r="CS9" s="1">
        <f>IF($D9="DN Spring Wheat after Forage Crop",H9*'Prices_Yields&amp;SeedInputs'!J$8,0)</f>
        <v>0</v>
      </c>
      <c r="CT9" s="1">
        <f>IF($D9="DN Spring Wheat after Winter Crop",H9*'Prices_Yields&amp;SeedInputs'!J$9,0)</f>
        <v>0</v>
      </c>
      <c r="CU9" s="1">
        <f>IF($D9="Chickpea after Forage Crop",H9*'Prices_Yields&amp;SeedInputs'!J$10,0)</f>
        <v>0</v>
      </c>
      <c r="CV9" s="1">
        <f>IF($D9="Chickpea after Cereal",H9*'Prices_Yields&amp;SeedInputs'!J$11,0)</f>
        <v>0</v>
      </c>
      <c r="CW9" s="1">
        <f>IF($D9="Spring Pea after Cereal",H9*'Prices_Yields&amp;SeedInputs'!J$12,0)</f>
        <v>0</v>
      </c>
      <c r="CX9" s="1">
        <f>IF($D9="Forage Crop-St. John Area",H9*'Prices_Yields&amp;SeedInputs'!J$13,0)</f>
        <v>0</v>
      </c>
      <c r="CY9" s="1">
        <f>IF($D9="Forage Crop-Genesee Area",H9*'Prices_Yields&amp;SeedInputs'!J$14,0)</f>
        <v>0</v>
      </c>
      <c r="CZ9" s="1">
        <f>IF($D9="Livestock Grazing",H9*'Prices_Yields&amp;SeedInputs'!J$15,0)</f>
        <v>0</v>
      </c>
      <c r="DA9" s="1">
        <f>IF($D9="SW Winter Wheat after Cereal",H9*'Prices_Yields&amp;SeedInputs'!J$16,0)</f>
        <v>0</v>
      </c>
      <c r="DB9" s="1">
        <f>IF($D9="SW Winter Wheat after Fallow",H9*'Prices_Yields&amp;SeedInputs'!J$17,0)</f>
        <v>0</v>
      </c>
      <c r="DC9" s="1">
        <f>IF($D9="Chem-Fallow",H9*'Prices_Yields&amp;SeedInputs'!J$18,0)</f>
        <v>0</v>
      </c>
      <c r="DD9" s="1">
        <f>IF($D9="Flex-Fallow",H9*'Prices_Yields&amp;SeedInputs'!J$19,0)</f>
        <v>0</v>
      </c>
      <c r="DE9" s="1">
        <f>IF($D9="Spring Barley",H9*'Prices_Yields&amp;SeedInputs'!J$20,0)</f>
        <v>0</v>
      </c>
      <c r="DF9" s="1">
        <f>IF($D9="Roundup Ready Spring Canola",H9*'Prices_Yields&amp;SeedInputs'!J$21,0)</f>
        <v>0</v>
      </c>
      <c r="DG9" s="1">
        <f>IF($D9="Spring Canola",H9*'Prices_Yields&amp;SeedInputs'!J$22,0)</f>
        <v>0</v>
      </c>
      <c r="DH9" s="1">
        <f>IF($D9="Spring Lentils",H9*'Prices_Yields&amp;SeedInputs'!J$23,0)</f>
        <v>0</v>
      </c>
      <c r="DI9" s="1">
        <f>IF($D9="SW Spring Wheat",H9*'Prices_Yields&amp;SeedInputs'!J$24,0)</f>
        <v>0</v>
      </c>
      <c r="DJ9" s="1">
        <f>IF($D9="HR Winter Wheat",H9*'Prices_Yields&amp;SeedInputs'!J$25,0)</f>
        <v>0</v>
      </c>
      <c r="DK9" s="1">
        <f>IF($D9="Winter Pea",H9*'Prices_Yields&amp;SeedInputs'!J$26,0)</f>
        <v>0</v>
      </c>
      <c r="DL9" s="1">
        <f>IF($D9="Winter Canola",H9*'Prices_Yields&amp;SeedInputs'!J$27,0)</f>
        <v>0</v>
      </c>
      <c r="DM9" s="322">
        <f>IF($D9="Forage Crop-Soil Builder Blend",H9*'Prices_Yields&amp;SeedInputs'!J$28,0)</f>
        <v>0</v>
      </c>
      <c r="DN9" s="1">
        <f>IF($D9="SW Winter Wheat after Spring Legume",$H9*SWWinterWheatAfterSpringLegume!$F$135,0)</f>
        <v>0</v>
      </c>
      <c r="DO9" s="1">
        <f>IF($D9="SW Winter Wheat after Forage Crop",$H9*SWWinterWheatAfterForageCrop!$F$135,0)</f>
        <v>0</v>
      </c>
      <c r="DP9" s="1">
        <f>IF($D9="DN Spring Wheat after Spring Legume",$H9*DNSpringWinterAfterSpringLegume!$F$135,0)</f>
        <v>0</v>
      </c>
      <c r="DQ9" s="1">
        <f>IF($D9="DN Spring Wheat after Forage Crop",$H9*DNSpringWheatAfterForageCrop!$F$135,0)</f>
        <v>0</v>
      </c>
      <c r="DR9" s="1">
        <f>IF($D9="DN Spring Wheat after Winter Crop",$H9*DNSpringWheatAfterWinterCrop!$F$135,0)</f>
        <v>0</v>
      </c>
      <c r="DS9" s="1">
        <f>IF($D9="Chickpea after Forage Crop",$H9*ChickpeaAfterForageCrop!$F$135,0)</f>
        <v>0</v>
      </c>
      <c r="DT9" s="1">
        <f>IF($D9="Chickpea after Cereal",$H9*ChickpeaAfterCereal!$F$135,0)</f>
        <v>0</v>
      </c>
      <c r="DU9" s="1">
        <f>IF($D9="Spring Pea after Cereal",$H9*SpringPeaAfterCereal!$F$135,0)</f>
        <v>0</v>
      </c>
      <c r="DV9" s="1">
        <f>IF($D9="Forage Crop-St. John Area",$H9*'ForageCrop-StJohn'!$F$135,0)</f>
        <v>0</v>
      </c>
      <c r="DW9" s="1">
        <f>IF($D9="Forage Crop-Genesee Area",$H9*'ForageCrop-Genesee'!$F$135,0)</f>
        <v>0</v>
      </c>
      <c r="DX9" s="1">
        <f>IF($D9="Livestock Grazing",$H9*LivestockGrazing!$F$135,0)</f>
        <v>0</v>
      </c>
      <c r="DY9" s="1">
        <f>IF($D9="SW Winter Wheat after Cereal",$H9*SWWinterWheatafterCereal!$F$135,0)</f>
        <v>0</v>
      </c>
      <c r="DZ9" s="1">
        <f>IF($D9="SW Winter Wheat after Fallow",$H9*SWWinterWheatAfterFallow!$F$135,0)</f>
        <v>0</v>
      </c>
      <c r="EA9" s="1">
        <f>IF($D9="Chem-Fallow",$H9*'Chem-Fallow'!$F$135,0)</f>
        <v>0</v>
      </c>
      <c r="EB9" s="1">
        <f>IF($D9="Flex-Fallow",$H9*'Flex-Fallow'!$F$135,0)</f>
        <v>0</v>
      </c>
      <c r="EC9" s="1">
        <f>IF($D9="Spring Barley",$H9*SpringBarley!$F$135,0)</f>
        <v>0</v>
      </c>
      <c r="ED9" s="1">
        <f>IF($D9="Roundup Ready Spring Canola",$H9*'SpringCanola_R-Ready'!$F$135,0)</f>
        <v>0</v>
      </c>
      <c r="EE9" s="1">
        <f>IF($D9="Spring Canola",$H9*SpringCanola!$F$135,0)</f>
        <v>0</v>
      </c>
      <c r="EF9" s="1">
        <f>IF($D9="Spring Lentils",$H9*SpringLentils!$F$135,0)</f>
        <v>0</v>
      </c>
      <c r="EG9" s="1">
        <f>IF($D9="SW Spring Wheat",$H9*SWSpringWheat!$F$135,0)</f>
        <v>0</v>
      </c>
      <c r="EH9" s="1">
        <f>IF($D9="HR Winter Wheat",$H9*HRWinterWheat!$F$135,0)</f>
        <v>0</v>
      </c>
      <c r="EI9" s="1">
        <f>IF($D9="Winter Pea",$H9*WinterPea!$F$135,0)</f>
        <v>0</v>
      </c>
      <c r="EJ9" s="1">
        <f>IF($D9="Winter Canola",$H9*WinterCanola!$F$135,0)</f>
        <v>0</v>
      </c>
      <c r="EK9" s="322">
        <f>IF($D9="Forage Crop-Soil Builder Blend",$H9*ForageCrop!$F$135,0)</f>
        <v>0</v>
      </c>
      <c r="EL9" s="1">
        <f>IF($D9="SW Winter Wheat after Spring Legume",$H9*SWWinterWheatAfterSpringLegume!$J$116,0)</f>
        <v>0</v>
      </c>
      <c r="EM9" s="1">
        <f>IF($D9="SW Winter Wheat after Forage Crop",$H9*SWWinterWheatAfterForageCrop!$J$116,0)</f>
        <v>0</v>
      </c>
      <c r="EN9" s="1">
        <f>IF($D9="DN Spring Wheat after Spring Legume",$H9*DNSpringWinterAfterSpringLegume!$J$116,0)</f>
        <v>0</v>
      </c>
      <c r="EO9" s="1">
        <f>IF($D9="DN Spring Wheat after Forage Crop",$H9*DNSpringWheatAfterForageCrop!$J$116,0)</f>
        <v>0</v>
      </c>
      <c r="EP9" s="1">
        <f>IF($D9="DN Spring Wheat after Winter Crop",$H9*DNSpringWheatAfterWinterCrop!$J$116,0)</f>
        <v>0</v>
      </c>
      <c r="EQ9" s="1">
        <f>IF($D9="Chickpea after Forage Crop",$H9*ChickpeaAfterForageCrop!$J$116,0)</f>
        <v>0</v>
      </c>
      <c r="ER9" s="1">
        <f>IF($D9="Chickpea after Cereal",$H9*ChickpeaAfterCereal!$J$116,0)</f>
        <v>0</v>
      </c>
      <c r="ES9" s="1">
        <f>IF($D9="Spring Pea after Cereal",$H9*SpringPeaAfterCereal!$J$116,0)</f>
        <v>0</v>
      </c>
      <c r="ET9" s="1">
        <f>IF($D9="Forage Crop-St. John Area",$H9*'ForageCrop-StJohn'!$J$116,0)</f>
        <v>0</v>
      </c>
      <c r="EU9" s="1">
        <f>IF($D9="Forage Crop-Genesee Area",$H9*'ForageCrop-Genesee'!$J$116,0)</f>
        <v>0</v>
      </c>
      <c r="EV9" s="1">
        <f>IF($D9="Livestock Grazing",$H9*LivestockGrazing!$J$116,0)</f>
        <v>0</v>
      </c>
      <c r="EW9" s="1">
        <f>IF($D9="SW Winter Wheat after Cereal",$H9*SWWinterWheatafterCereal!$J$116,0)</f>
        <v>0</v>
      </c>
      <c r="EX9" s="1">
        <f>IF($D9="SW Winter Wheat after Fallow",$H9*SWWinterWheatAfterFallow!$J$116,0)</f>
        <v>0</v>
      </c>
      <c r="EY9" s="1">
        <f>IF($D9="Chem-Fallow",$H9*'Chem-Fallow'!$J$116,0)</f>
        <v>0</v>
      </c>
      <c r="EZ9" s="1">
        <f>IF($D9="Flex-Fallow",$H9*'Flex-Fallow'!$J$116,0)</f>
        <v>0</v>
      </c>
      <c r="FA9" s="1">
        <f>IF($D9="Spring Barley",$H9*SpringBarley!$J$116,0)</f>
        <v>0</v>
      </c>
      <c r="FB9" s="1">
        <f>IF($D9="Roundup Ready Spring Canola",$H9*'SpringCanola_R-Ready'!$J$116,0)</f>
        <v>0</v>
      </c>
      <c r="FC9" s="1">
        <f>IF($D9="Spring Canola",$H9*SpringCanola!$J$116,0)</f>
        <v>0</v>
      </c>
      <c r="FD9" s="1">
        <f>IF($D9="Spring Lentils",$H9*SpringLentils!$J$116,0)</f>
        <v>0</v>
      </c>
      <c r="FE9" s="1">
        <f>IF($D9="SW Spring Wheat",$H9*SWSpringWheat!$J$116,0)</f>
        <v>0</v>
      </c>
      <c r="FF9" s="1">
        <f>IF($D9="HR Winter Wheat",$H9*HRWinterWheat!$J$116,0)</f>
        <v>0</v>
      </c>
      <c r="FG9" s="1">
        <f>IF($D9="Winter Pea",$H9*WinterPea!$J$116,0)</f>
        <v>0</v>
      </c>
      <c r="FH9" s="1">
        <f>IF($D9="Winter Canola",$H9*WinterCanola!$J$116,0)</f>
        <v>0</v>
      </c>
      <c r="FI9" s="322">
        <f>IF($D9="Forage Crop-Soil Builder Blend",$H9*ForageCrop!$J$116,0)</f>
        <v>0</v>
      </c>
      <c r="FJ9" s="1">
        <f>IF($D9="SW Winter Wheat after Spring Legume",$H9*SWWinterWheatAfterSpringLegume!$J$117,0)</f>
        <v>0</v>
      </c>
      <c r="FK9" s="1">
        <f>IF($D9="SW Winter Wheat after Forage Crop",$H9*SWWinterWheatAfterForageCrop!$J$117,0)</f>
        <v>0</v>
      </c>
      <c r="FL9" s="1">
        <f>IF($D9="DN Spring Wheat after Spring Legume",$H9*DNSpringWinterAfterSpringLegume!$J$117,0)</f>
        <v>0</v>
      </c>
      <c r="FM9" s="1">
        <f>IF($D9="DN Spring Wheat after Forage Crop",$H9*DNSpringWheatAfterForageCrop!$J$117,0)</f>
        <v>0</v>
      </c>
      <c r="FN9" s="1">
        <f>IF($D9="DN Spring Wheat after Winter Crop",$H9*DNSpringWheatAfterWinterCrop!$J$117,0)</f>
        <v>0</v>
      </c>
      <c r="FO9" s="1">
        <f>IF($D9="Chickpea after Forage Crop",$H9*ChickpeaAfterForageCrop!$J$117,0)</f>
        <v>0</v>
      </c>
      <c r="FP9" s="1">
        <f>IF($D9="Chickpea after Cereal",$H9*ChickpeaAfterCereal!$J$117,0)</f>
        <v>0</v>
      </c>
      <c r="FQ9" s="1">
        <f>IF($D9="Spring Pea after Cereal",$H9*SpringPeaAfterCereal!$J$117,0)</f>
        <v>0</v>
      </c>
      <c r="FR9" s="1">
        <f>IF($D9="Forage Crop-St. John Area",$H9*'ForageCrop-StJohn'!$J$117,0)</f>
        <v>0</v>
      </c>
      <c r="FS9" s="1">
        <f>IF($D9="Forage Crop-Genesee Area",$H9*'ForageCrop-Genesee'!$J$117,0)</f>
        <v>0</v>
      </c>
      <c r="FT9" s="1">
        <f>IF($D9="Livestock Grazing",$H9*LivestockGrazing!$J$117,0)</f>
        <v>0</v>
      </c>
      <c r="FU9" s="1">
        <f>IF($D9="SW Winter Wheat after Cereal",$H9*SWWinterWheatafterCereal!$J$117,0)</f>
        <v>0</v>
      </c>
      <c r="FV9" s="1">
        <f>IF($D9="SW Winter Wheat after Fallow",$H9*SWWinterWheatAfterFallow!$J$117,0)</f>
        <v>0</v>
      </c>
      <c r="FW9" s="1">
        <f>IF($D9="Chem-Fallow",$H9*'Chem-Fallow'!$J$117,0)</f>
        <v>0</v>
      </c>
      <c r="FX9" s="1">
        <f>IF($D9="Flex-Fallow",$H9*'Flex-Fallow'!$J$117,0)</f>
        <v>0</v>
      </c>
      <c r="FY9" s="1">
        <f>IF($D9="Spring Barley",$H9*SpringBarley!$J$117,0)</f>
        <v>0</v>
      </c>
      <c r="FZ9" s="1">
        <f>IF($D9="Roundup Ready Spring Canola",$H9*'SpringCanola_R-Ready'!$J$117,0)</f>
        <v>0</v>
      </c>
      <c r="GA9" s="1">
        <f>IF($D9="Spring Canola",$H9*SpringCanola!$J$117,0)</f>
        <v>0</v>
      </c>
      <c r="GB9" s="1">
        <f>IF($D9="Spring Lentils",$H9*SpringLentils!$J$117,0)</f>
        <v>0</v>
      </c>
      <c r="GC9" s="1">
        <f>IF($D9="SW Spring Wheat",$H9*SWSpringWheat!$J$117,0)</f>
        <v>0</v>
      </c>
      <c r="GD9" s="1">
        <f>IF($D9="HR Winter Wheat",$H9*HRWinterWheat!$J$117,0)</f>
        <v>0</v>
      </c>
      <c r="GE9" s="1">
        <f>IF($D9="Winter Pea",$H9*WinterPea!$J$117,0)</f>
        <v>0</v>
      </c>
      <c r="GF9" s="1">
        <f>IF($D9="Winter Canola",$H9*WinterCanola!$J$117,0)</f>
        <v>0</v>
      </c>
      <c r="GG9" s="322">
        <f>IF($D9="Forage Crop-Soil Builder Blend",$H9*ForageCrop!$J$117,0)</f>
        <v>0</v>
      </c>
      <c r="GH9" s="1">
        <f>IF($D9="SW Winter Wheat after Spring Legume",$H9*SWWinterWheatAfterSpringLegume!$J$118,0)</f>
        <v>0</v>
      </c>
      <c r="GI9" s="1">
        <f>IF($D9="SW Winter Wheat after Forage Crop",$H9*SWWinterWheatAfterForageCrop!$J$118,0)</f>
        <v>0</v>
      </c>
      <c r="GJ9" s="1">
        <f>IF($D9="DN Spring Wheat after Spring Legume",$H9*DNSpringWinterAfterSpringLegume!$J$118,0)</f>
        <v>0</v>
      </c>
      <c r="GK9" s="1">
        <f>IF($D9="DN Spring Wheat after Forage Crop",$H9*DNSpringWheatAfterForageCrop!$J$118,0)</f>
        <v>0</v>
      </c>
      <c r="GL9" s="1">
        <f>IF($D9="DN Spring Wheat after Winter Crop",$H9*DNSpringWheatAfterWinterCrop!$J$118,0)</f>
        <v>0</v>
      </c>
      <c r="GM9" s="1">
        <f>IF($D9="Chickpea after Forage Crop",$H9*ChickpeaAfterForageCrop!$J$118,0)</f>
        <v>0</v>
      </c>
      <c r="GN9" s="1">
        <f>IF($D9="Chickpea after Cereal",$H9*ChickpeaAfterCereal!$J$118,0)</f>
        <v>0</v>
      </c>
      <c r="GO9" s="1">
        <f>IF($D9="Spring Pea after Cereal",$H9*SpringPeaAfterCereal!$J$118,0)</f>
        <v>0</v>
      </c>
      <c r="GP9" s="1">
        <f>IF($D9="Forage Crop-St. John Area",$H9*'ForageCrop-StJohn'!$J$118,0)</f>
        <v>0</v>
      </c>
      <c r="GQ9" s="1">
        <f>IF($D9="Forage Crop-Genesee Area",$H9*'ForageCrop-Genesee'!$J$118,0)</f>
        <v>0</v>
      </c>
      <c r="GR9" s="1">
        <f>IF($D9="Livestock Grazing",$H9*LivestockGrazing!$J$118,0)</f>
        <v>0</v>
      </c>
      <c r="GS9" s="1">
        <f>IF($D9="SW Winter Wheat after Cereal",$H9*SWWinterWheatafterCereal!$J$118,0)</f>
        <v>0</v>
      </c>
      <c r="GT9" s="1">
        <f>IF($D9="SW Winter Wheat after Fallow",$H9*SWWinterWheatAfterFallow!$J$118,0)</f>
        <v>0</v>
      </c>
      <c r="GU9" s="1">
        <f>IF($D9="Chem-Fallow",$H9*'Chem-Fallow'!$J$118,0)</f>
        <v>0</v>
      </c>
      <c r="GV9" s="1">
        <f>IF($D9="Flex-Fallow",$H9*'Flex-Fallow'!$J$118,0)</f>
        <v>0</v>
      </c>
      <c r="GW9" s="1">
        <f>IF($D9="Spring Barley",$H9*SpringBarley!$J$118,0)</f>
        <v>0</v>
      </c>
      <c r="GX9" s="1">
        <f>IF($D9="Roundup Ready Spring Canola",$H9*'SpringCanola_R-Ready'!$J$118,0)</f>
        <v>0</v>
      </c>
      <c r="GY9" s="1">
        <f>IF($D9="Spring Canola",$H9*SpringCanola!$J$118,0)</f>
        <v>0</v>
      </c>
      <c r="GZ9" s="1">
        <f>IF($D9="Spring Lentils",$H9*SpringLentils!$J$118,0)</f>
        <v>0</v>
      </c>
      <c r="HA9" s="1">
        <f>IF($D9="SW Spring Wheat",$H9*SWSpringWheat!$J$118,0)</f>
        <v>0</v>
      </c>
      <c r="HB9" s="1">
        <f>IF($D9="HR Winter Wheat",$H9*HRWinterWheat!$J$118,0)</f>
        <v>0</v>
      </c>
      <c r="HC9" s="1">
        <f>IF($D9="Winter Pea",$H9*WinterPea!$J$118,0)</f>
        <v>0</v>
      </c>
      <c r="HD9" s="1">
        <f>IF($D9="Winter Canola",$H9*WinterCanola!$J$118,0)</f>
        <v>0</v>
      </c>
      <c r="HE9" s="322">
        <f>IF($D9="Forage Crop-Soil Builder Blend",$H9*ForageCrop!$J$118,0)</f>
        <v>0</v>
      </c>
      <c r="HF9" s="1">
        <f>IF($D9="SW Winter Wheat after Spring Legume",($H9*(SUM(SWWinterWheatAfterSpringLegume!$E$9:$E$16)+SWWinterWheatAfterSpringLegume!$G$16))/2000,0)</f>
        <v>0</v>
      </c>
      <c r="HG9" s="1">
        <f>IF($D9="SW Winter Wheat after Forage Crop",($H9*(SUM(SWWinterWheatAfterForageCrop!$E$9:$E$16)+SWWinterWheatAfterForageCrop!$G$17))/2000,0)</f>
        <v>0</v>
      </c>
      <c r="HH9" s="1">
        <f>IF($D9="DN Spring Wheat after Spring Legume",($H9*(SUM(DNSpringWinterAfterSpringLegume!$E$9:$E$16)+DNSpringWinterAfterSpringLegume!$G$16))/2000,0)</f>
        <v>0</v>
      </c>
      <c r="HI9" s="1">
        <f>IF($D9="DN Spring Wheat after Forage Crop",($H9*(SUM(DNSpringWheatAfterForageCrop!$E$9:$E$16)+DNSpringWheatAfterForageCrop!$G$14))/2000,0)</f>
        <v>0</v>
      </c>
      <c r="HJ9" s="1">
        <f>IF($D9="DN Spring Wheat after Winter Crop",($H9*(SUM(DNSpringWheatAfterWinterCrop!$E$9:$E$16)+DNSpringWheatAfterWinterCrop!$G$16))/2000,0)</f>
        <v>0</v>
      </c>
      <c r="HK9" s="1">
        <f>IF($D9="Chickpea after Forage Crop",($H9*(SUM(ChickpeaAfterForageCrop!$E$9:$E$16)+ChickpeaAfterForageCrop!$G$14))/2000,0)</f>
        <v>0</v>
      </c>
      <c r="HL9" s="1">
        <f>IF($D9="Chickpea after Cereal",($H9*(SUM(ChickpeaAfterCereal!$E$9:$E$16)+ChickpeaAfterCereal!$G$14))/2000,0)</f>
        <v>0</v>
      </c>
      <c r="HM9" s="1">
        <f>IF($D9="Spring Pea after Cereal",($H9*(SUM(SpringPeaAfterCereal!$E$9:$E$16)+SpringPeaAfterCereal!$G$14))/2000,0)</f>
        <v>0</v>
      </c>
      <c r="HN9" s="1">
        <f>IF($D9="Forage Crop-St. John Area",($H9*(SUM('ForageCrop-StJohn'!$E$9:$E$16)+'ForageCrop-StJohn'!$G$14))/2000,0)</f>
        <v>0</v>
      </c>
      <c r="HO9" s="1">
        <f>IF($D9="Forage Crop-Genesee Area",($H9*(SUM('ForageCrop-Genesee'!$E$9:$E$16)+'ForageCrop-Genesee'!$G$14))/2000,0)</f>
        <v>0</v>
      </c>
      <c r="HP9" s="1">
        <f>IF($D9="Livestock Grazing",($H9*(SUM(LivestockGrazing!$E$9:$E$16)+LivestockGrazing!$G$14))/2000,0)</f>
        <v>0</v>
      </c>
      <c r="HQ9" s="1">
        <f>IF($D9="SW Winter Wheat after Cereal",($H9*(SUM(SWWinterWheatafterCereal!$E$9:$E$16)+SWWinterWheatafterCereal!$G$16))/2000,0)</f>
        <v>0</v>
      </c>
      <c r="HR9" s="1">
        <f>IF($D9="SW Winter Wheat after Fallow",($H9*(SUM(SWWinterWheatAfterFallow!$E$9:$E$16)+SWWinterWheatAfterFallow!$G$14))/2000,0)</f>
        <v>0</v>
      </c>
      <c r="HS9" s="1">
        <f>IF($D9="Chem-Fallow",($H9*(SUM('Chem-Fallow'!$E$9:$E$16)+'Chem-Fallow'!$G$16))/2000,0)</f>
        <v>0</v>
      </c>
      <c r="HT9" s="1">
        <f>IF($D9="Flex-Fallow",($H9*(SUM('Flex-Fallow'!$E$9:$E$16)+'Flex-Fallow'!$G$16))/2000,0)</f>
        <v>0</v>
      </c>
      <c r="HU9" s="1">
        <f>IF($D9="Spring Barley",($H9*(SUM(SpringBarley!$E$9:$E$16)+SpringBarley!$G$16))/2000,0)</f>
        <v>0</v>
      </c>
      <c r="HV9" s="1">
        <f>IF($D9="Roundup Ready Spring Canola",($H9*(SUM('SpringCanola_R-Ready'!$E$9:$E$16)+'SpringCanola_R-Ready'!$G$14))/2000,0)</f>
        <v>0</v>
      </c>
      <c r="HW9" s="1">
        <f>IF($D9="Spring Canola",($H9*(SUM(SpringCanola!$E$9:$E$16)+SpringCanola!$G$14))/2000,0)</f>
        <v>0</v>
      </c>
      <c r="HX9" s="1">
        <f>IF($D9="Spriing Lentils",($H9*(SUM(SpringLentils!$E$9:$E$16)+SpringLentils!$G$14))/2000,0)</f>
        <v>0</v>
      </c>
      <c r="HY9" s="1">
        <f>IF($D9="SW Spring Wheat",($H9*(SUM(SWSpringWheat!$E$9:$E$16)+SWSpringWheat!$G$18))/2000,0)</f>
        <v>0</v>
      </c>
      <c r="HZ9" s="1">
        <f>IF($D9="HR Winter Wheat",($H9*(SUM(HRWinterWheat!$E$9:$E$16)+HRWinterWheat!$G$16))/2000,0)</f>
        <v>0</v>
      </c>
      <c r="IA9" s="1">
        <f>IF($D9="Winter Pea",($H9*(SUM(WinterPea!$E$9:$E$16)+WinterPea!$G$14))/2000,0)</f>
        <v>0</v>
      </c>
      <c r="IB9" s="1">
        <f>IF($D9="Winter Canola",($H9*(SUM(WinterCanola!$E$9:$E$16)+WinterCanola!$G$14))/2000,0)</f>
        <v>0</v>
      </c>
      <c r="IC9" s="322">
        <f>IF($D9="Forage Crop-Soil Builder Blend",($H9*(SUM(ForageCrop!$E$9:$E$16)+ForageCrop!$G$14))/2000,0)</f>
        <v>0</v>
      </c>
      <c r="ID9" s="1">
        <f>IF($D9="SW Winter Wheat after Spring Legume",$H9*SWWinterWheatAfterSpringLegume!$G$62,0)</f>
        <v>0</v>
      </c>
      <c r="IE9" s="1">
        <f>IF($D9="SW Winter Wheat after Forage Crop",$H9*SWWinterWheatAfterForageCrop!$G$62,0)</f>
        <v>0</v>
      </c>
      <c r="IF9" s="1">
        <f>IF($D9="DN Spring Wheat after Spring Legume",$H9*DNSpringWinterAfterSpringLegume!$G$62,0)</f>
        <v>0</v>
      </c>
      <c r="IG9" s="1">
        <f>IF($D9="DN Spring Wheat after Forage Crop",$H9*DNSpringWheatAfterForageCrop!$G$62,0)</f>
        <v>0</v>
      </c>
      <c r="IH9" s="1">
        <f>IF($D9="DN Spring Wheat after Winter Crop",$H9*DNSpringWheatAfterWinterCrop!$G$62,0)</f>
        <v>0</v>
      </c>
      <c r="II9" s="1">
        <f>IF($D9="Chickpea after Forage Crop",$H9*ChickpeaAfterForageCrop!$G$62,0)</f>
        <v>0</v>
      </c>
      <c r="IJ9" s="1">
        <f>IF($D9="Chickpea after Cereal",$H9*ChickpeaAfterCereal!$G$62,0)</f>
        <v>0</v>
      </c>
      <c r="IK9" s="1">
        <f>IF($D9="Spring Pea after Cereal",$H9*SpringPeaAfterCereal!$G$62,0)</f>
        <v>0</v>
      </c>
      <c r="IL9" s="1">
        <f>IF($D9="Forage Crop-St. John Area",$H9*'ForageCrop-StJohn'!$G$62,0)</f>
        <v>0</v>
      </c>
      <c r="IM9" s="1">
        <f>IF($D9="Forage Crop-Genesee Area",$H9*'ForageCrop-Genesee'!$G$62,0)</f>
        <v>0</v>
      </c>
      <c r="IN9" s="1">
        <f>IF($D9="Livestock Grazing",$H9*LivestockGrazing!$G$62,0)</f>
        <v>0</v>
      </c>
      <c r="IO9" s="1">
        <f>IF($D9="SW Winter Wheat after Cereal",$H9*SWWinterWheatafterCereal!$G$62,0)</f>
        <v>0</v>
      </c>
      <c r="IP9" s="1">
        <f>IF($D9="SW Winter Wheat after Fallow",$H9*SWWinterWheatAfterFallow!$G$62,0)</f>
        <v>0</v>
      </c>
      <c r="IQ9" s="1">
        <f>IF($D9="Chem-Fallow",$H9*'Chem-Fallow'!$G$62,0)</f>
        <v>0</v>
      </c>
      <c r="IR9" s="1">
        <f>IF($D9="Flex-Fallow",$H9*'Flex-Fallow'!$G$62,0)</f>
        <v>0</v>
      </c>
      <c r="IS9" s="1">
        <f>IF($D9="Spring Barley",$H9*SpringBarley!$G$62,0)</f>
        <v>0</v>
      </c>
      <c r="IT9" s="1">
        <f>IF($D9="Roundup Ready Spring Canola",$H9*'SpringCanola_R-Ready'!$G$62,0)</f>
        <v>0</v>
      </c>
      <c r="IU9" s="1">
        <f>IF($D9="Spring Canola",$H9*SpringCanola!$G$62,0)</f>
        <v>0</v>
      </c>
      <c r="IV9" s="1">
        <f>IF($D9="Spriing Lentils",$H9*SpringLentils!$G$62,0)</f>
        <v>0</v>
      </c>
      <c r="IW9" s="1">
        <f>IF($D9="SW Spring Wheat",$H9*SWSpringWheat!$G$62,0)</f>
        <v>0</v>
      </c>
      <c r="IX9" s="1">
        <f>IF($D9="HR Winter Wheat",$H9*HRWinterWheat!$G$62,0)</f>
        <v>0</v>
      </c>
      <c r="IY9" s="1">
        <f>IF($D9="Winter Pea",$H9*WinterPea!$G$62,0)</f>
        <v>0</v>
      </c>
      <c r="IZ9" s="1">
        <f>IF($D9="Winter Canola",$H9*+WinterCanola!$G$62,0)</f>
        <v>0</v>
      </c>
      <c r="JA9" s="1">
        <f>IF($D9="Forage Crop-Soil Builder Blend",$H9*ForageCrop!$G$62,0)</f>
        <v>0</v>
      </c>
      <c r="JB9" s="1">
        <f>IF($D9="SW Winter Wheat after Spring Legume",$H9*'Prices_Yields&amp;SeedInputs'!E5,0)</f>
        <v>0</v>
      </c>
      <c r="JC9" s="1">
        <f>IF($D9="SW Winter Wheat after Forage Crop",$H9*'Prices_Yields&amp;SeedInputs'!E6,0)</f>
        <v>0</v>
      </c>
      <c r="JD9" s="1">
        <f>IF($D9="DN Spring Wheat after Spring Legume",$H9*'Prices_Yields&amp;SeedInputs'!E$7,0)</f>
        <v>0</v>
      </c>
      <c r="JE9" s="1">
        <f>IF($D9="DN Spring Wheat after Forage Crop",$H9*'Prices_Yields&amp;SeedInputs'!E$8,0)</f>
        <v>0</v>
      </c>
      <c r="JF9" s="1">
        <f>IF($D9="DN Spring Wheat after Winter Crop",$H9*'Prices_Yields&amp;SeedInputs'!E$9,0)</f>
        <v>0</v>
      </c>
      <c r="JG9" s="1">
        <f>IF($D9="Chickpea after Forage Crop",$H9*'Prices_Yields&amp;SeedInputs'!E$10,0)</f>
        <v>0</v>
      </c>
      <c r="JH9" s="1">
        <f>IF($D9="Chickpea after Cereal",$H9*'Prices_Yields&amp;SeedInputs'!E$11,0)</f>
        <v>0</v>
      </c>
      <c r="JI9" s="1">
        <f>IF($D9="Spring Pea after Cereal",$H9*'Prices_Yields&amp;SeedInputs'!E$12,0)</f>
        <v>0</v>
      </c>
      <c r="JJ9" s="1">
        <f>IF($D9="Forage Crop-St. John Area",$H9*'Prices_Yields&amp;SeedInputs'!E$13,0)</f>
        <v>0</v>
      </c>
      <c r="JK9" s="1">
        <f>IF($D9="Forage Crop-Genesee Area",$H9*'Prices_Yields&amp;SeedInputs'!E$14,0)</f>
        <v>0</v>
      </c>
      <c r="JL9" s="1">
        <f>IF($D9="Livestock Grazing",$H9*'Prices_Yields&amp;SeedInputs'!E$15,0)</f>
        <v>0</v>
      </c>
      <c r="JM9" s="1">
        <f>IF($D9="SW Winter Wheat after Cereal",$H9*'Prices_Yields&amp;SeedInputs'!E$16,0)</f>
        <v>0</v>
      </c>
      <c r="JN9" s="1">
        <f>IF($D9="SW Winter Wheat after Fallow",$H9*'Prices_Yields&amp;SeedInputs'!E$17,0)</f>
        <v>0</v>
      </c>
      <c r="JO9" s="1">
        <f>IF($D9="Chem-Fallow",$H9*'Prices_Yields&amp;SeedInputs'!E$18,0)</f>
        <v>0</v>
      </c>
      <c r="JP9" s="1">
        <f>IF($D9="Flex-Fallow",$H9*'Prices_Yields&amp;SeedInputs'!E$19,0)</f>
        <v>0</v>
      </c>
      <c r="JQ9" s="1">
        <f>IF($D9="Spring Barley",$H9*'Prices_Yields&amp;SeedInputs'!E$20,0)</f>
        <v>0</v>
      </c>
      <c r="JR9" s="1">
        <f>IF($D9="Roundup Ready Spring Canola",$H9*'Prices_Yields&amp;SeedInputs'!E$21,0)</f>
        <v>0</v>
      </c>
      <c r="JS9" s="1">
        <f>IF($D9="Spring Canola",$H9*'Prices_Yields&amp;SeedInputs'!E$22,0)</f>
        <v>0</v>
      </c>
      <c r="JT9" s="1">
        <f>IF($D9="Spriing Lentils",$H9*'Prices_Yields&amp;SeedInputs'!E$23,0)</f>
        <v>0</v>
      </c>
      <c r="JU9" s="1">
        <f>IF($D9="SW Spring Wheat",$H9*'Prices_Yields&amp;SeedInputs'!E$24,0)</f>
        <v>0</v>
      </c>
      <c r="JV9" s="1">
        <f>IF($D9="HR Winter Wheat",$H9*'Prices_Yields&amp;SeedInputs'!E$25,0)</f>
        <v>0</v>
      </c>
      <c r="JW9" s="1">
        <f>IF($D9="Winter Pea",$H9*'Prices_Yields&amp;SeedInputs'!E$26,0)</f>
        <v>0</v>
      </c>
      <c r="JX9" s="1">
        <f>IF($D9="Winter Canola",$H9*'Prices_Yields&amp;SeedInputs'!E$27,0)</f>
        <v>0</v>
      </c>
      <c r="JY9" s="1">
        <f>IF($D9="Forage Crop-Soil Builder Blend",$H9*'Prices_Yields&amp;SeedInputs'!E$28,0)</f>
        <v>0</v>
      </c>
    </row>
    <row r="10" spans="1:288" ht="20" customHeight="1">
      <c r="A10" s="3"/>
      <c r="B10" s="3"/>
      <c r="C10" s="3"/>
      <c r="D10" s="3"/>
      <c r="E10" s="363">
        <f>IF(F10&gt;1,"ERROR",SUM(F5:F9))</f>
        <v>1</v>
      </c>
      <c r="F10" s="305">
        <f>IF(SUM(F5:F9)&gt;1,"ERROR",SUM(F5:F9))</f>
        <v>1</v>
      </c>
      <c r="G10" s="193">
        <f>IF(SUM(G5:G9)&gt;$I$2,"ERROR",SUM(G5:G9))</f>
        <v>2500</v>
      </c>
      <c r="H10" s="308" t="s">
        <v>8</v>
      </c>
      <c r="I10" s="140"/>
      <c r="J10" s="140"/>
      <c r="M10" s="197"/>
      <c r="N10" s="5" t="s">
        <v>101</v>
      </c>
      <c r="O10" s="196">
        <v>73474.997618596186</v>
      </c>
      <c r="P10" s="196">
        <f>SUM('Farm and Rotation Setup'!DN5:EK9)</f>
        <v>59698.207110050265</v>
      </c>
      <c r="Q10" s="197">
        <f t="shared" si="0"/>
        <v>-0.1875031092897794</v>
      </c>
      <c r="R10" s="197"/>
      <c r="S10" s="197"/>
      <c r="T10" s="140"/>
      <c r="V10" s="237" t="s">
        <v>8</v>
      </c>
      <c r="W10" s="237" t="s">
        <v>8</v>
      </c>
      <c r="X10" s="237" t="s">
        <v>8</v>
      </c>
      <c r="Y10" s="237" t="s">
        <v>8</v>
      </c>
      <c r="Z10" s="237" t="s">
        <v>8</v>
      </c>
      <c r="AA10" s="237" t="s">
        <v>8</v>
      </c>
      <c r="AB10" s="237" t="s">
        <v>8</v>
      </c>
      <c r="AC10" s="237" t="s">
        <v>8</v>
      </c>
      <c r="AD10" s="237" t="s">
        <v>8</v>
      </c>
      <c r="AE10" s="237" t="s">
        <v>8</v>
      </c>
      <c r="AF10" s="237" t="s">
        <v>8</v>
      </c>
      <c r="AG10" s="237" t="s">
        <v>8</v>
      </c>
      <c r="AH10" s="237" t="s">
        <v>8</v>
      </c>
      <c r="AI10" s="237" t="s">
        <v>8</v>
      </c>
      <c r="AJ10" s="237" t="s">
        <v>8</v>
      </c>
      <c r="AK10" s="237" t="s">
        <v>8</v>
      </c>
      <c r="AL10" s="237" t="s">
        <v>8</v>
      </c>
      <c r="AM10" s="237" t="s">
        <v>8</v>
      </c>
      <c r="AN10" s="237" t="s">
        <v>8</v>
      </c>
      <c r="AO10" s="237" t="s">
        <v>8</v>
      </c>
      <c r="AP10" s="237" t="s">
        <v>8</v>
      </c>
      <c r="AQ10" s="237" t="s">
        <v>8</v>
      </c>
      <c r="AR10" s="237" t="s">
        <v>8</v>
      </c>
      <c r="AS10" s="355" t="s">
        <v>8</v>
      </c>
      <c r="AU10" s="237" t="s">
        <v>8</v>
      </c>
      <c r="AV10" s="237" t="s">
        <v>8</v>
      </c>
      <c r="AW10" s="237" t="s">
        <v>8</v>
      </c>
      <c r="AX10" s="237" t="s">
        <v>8</v>
      </c>
      <c r="AY10" s="237" t="s">
        <v>8</v>
      </c>
      <c r="AZ10" s="237" t="s">
        <v>8</v>
      </c>
      <c r="BA10" s="237" t="s">
        <v>8</v>
      </c>
      <c r="BB10" s="237" t="s">
        <v>8</v>
      </c>
      <c r="BC10" s="237" t="s">
        <v>8</v>
      </c>
      <c r="BD10" s="237" t="s">
        <v>8</v>
      </c>
      <c r="BE10" s="239" t="s">
        <v>8</v>
      </c>
      <c r="BF10" s="237" t="s">
        <v>8</v>
      </c>
      <c r="BG10" s="237" t="s">
        <v>8</v>
      </c>
      <c r="BH10" s="237" t="s">
        <v>8</v>
      </c>
      <c r="BI10" s="237" t="s">
        <v>8</v>
      </c>
      <c r="BJ10" s="237" t="s">
        <v>8</v>
      </c>
      <c r="BK10" s="237" t="s">
        <v>8</v>
      </c>
      <c r="BL10" s="237" t="s">
        <v>8</v>
      </c>
      <c r="BM10" s="237" t="s">
        <v>8</v>
      </c>
      <c r="BN10" s="237" t="s">
        <v>8</v>
      </c>
      <c r="BO10" s="237" t="s">
        <v>8</v>
      </c>
      <c r="BP10" s="237" t="s">
        <v>8</v>
      </c>
      <c r="BQ10" s="355" t="s">
        <v>8</v>
      </c>
      <c r="BR10" s="237" t="s">
        <v>8</v>
      </c>
      <c r="BS10" s="237" t="s">
        <v>8</v>
      </c>
      <c r="BT10" s="237" t="s">
        <v>8</v>
      </c>
      <c r="BU10" s="237" t="s">
        <v>8</v>
      </c>
      <c r="BV10" s="237" t="s">
        <v>8</v>
      </c>
      <c r="BW10" s="237" t="s">
        <v>8</v>
      </c>
      <c r="BX10" s="237" t="s">
        <v>8</v>
      </c>
      <c r="BY10" s="237" t="s">
        <v>8</v>
      </c>
      <c r="BZ10" s="237" t="s">
        <v>8</v>
      </c>
      <c r="CA10" s="237" t="s">
        <v>8</v>
      </c>
      <c r="CB10" s="237" t="s">
        <v>8</v>
      </c>
      <c r="CC10" s="237" t="s">
        <v>8</v>
      </c>
      <c r="CD10" s="237" t="s">
        <v>8</v>
      </c>
      <c r="CE10" s="237" t="s">
        <v>8</v>
      </c>
      <c r="CF10" s="237" t="s">
        <v>8</v>
      </c>
      <c r="CG10" s="237" t="s">
        <v>8</v>
      </c>
      <c r="CH10" s="237" t="s">
        <v>8</v>
      </c>
      <c r="CI10" s="237" t="s">
        <v>8</v>
      </c>
      <c r="CJ10" s="237" t="s">
        <v>8</v>
      </c>
      <c r="CK10" s="237" t="s">
        <v>8</v>
      </c>
      <c r="CL10" s="237" t="s">
        <v>8</v>
      </c>
      <c r="CM10" s="237" t="s">
        <v>8</v>
      </c>
      <c r="CN10" s="237" t="s">
        <v>8</v>
      </c>
      <c r="CO10" s="355" t="s">
        <v>8</v>
      </c>
      <c r="CP10" s="237" t="s">
        <v>8</v>
      </c>
      <c r="CQ10" s="237" t="s">
        <v>8</v>
      </c>
      <c r="CR10" s="237" t="s">
        <v>8</v>
      </c>
      <c r="CS10" s="237" t="s">
        <v>8</v>
      </c>
      <c r="CT10" s="237" t="s">
        <v>8</v>
      </c>
      <c r="CU10" s="237" t="s">
        <v>8</v>
      </c>
      <c r="CV10" s="237" t="s">
        <v>8</v>
      </c>
      <c r="CW10" s="237" t="s">
        <v>8</v>
      </c>
      <c r="CX10" s="237" t="s">
        <v>8</v>
      </c>
      <c r="CY10" s="237" t="s">
        <v>8</v>
      </c>
      <c r="CZ10" s="237" t="s">
        <v>8</v>
      </c>
      <c r="DA10" s="237" t="s">
        <v>8</v>
      </c>
      <c r="DB10" s="237" t="s">
        <v>8</v>
      </c>
      <c r="DC10" s="237" t="s">
        <v>8</v>
      </c>
      <c r="DD10" s="237" t="s">
        <v>8</v>
      </c>
      <c r="DE10" s="237" t="s">
        <v>8</v>
      </c>
      <c r="DF10" s="237" t="s">
        <v>8</v>
      </c>
      <c r="DG10" s="237" t="s">
        <v>8</v>
      </c>
      <c r="DH10" s="237" t="s">
        <v>8</v>
      </c>
      <c r="DI10" s="237" t="s">
        <v>8</v>
      </c>
      <c r="DJ10" s="237" t="s">
        <v>8</v>
      </c>
      <c r="DK10" s="237" t="s">
        <v>8</v>
      </c>
      <c r="DL10" s="237" t="s">
        <v>8</v>
      </c>
      <c r="DM10" s="355" t="s">
        <v>8</v>
      </c>
      <c r="DN10" s="1"/>
      <c r="DO10" s="1"/>
      <c r="DP10" s="1"/>
      <c r="DQ10" s="1"/>
      <c r="DR10" s="1"/>
      <c r="DS10" s="1"/>
      <c r="DT10" s="1"/>
      <c r="DU10" s="1"/>
      <c r="DV10" s="1"/>
      <c r="DW10" s="1"/>
      <c r="DX10" s="1"/>
      <c r="DY10" s="1"/>
      <c r="DZ10" s="1"/>
      <c r="EA10" s="1"/>
      <c r="EB10" s="1"/>
      <c r="EC10" s="1"/>
      <c r="ED10" s="1"/>
      <c r="EE10" s="1"/>
      <c r="EF10" s="1"/>
      <c r="EG10" s="1"/>
      <c r="EH10" s="1"/>
      <c r="EI10" s="1"/>
      <c r="EJ10" s="1"/>
      <c r="EK10" s="322"/>
      <c r="EL10" s="237" t="s">
        <v>8</v>
      </c>
      <c r="EM10" s="237" t="s">
        <v>8</v>
      </c>
      <c r="EN10" s="237" t="s">
        <v>8</v>
      </c>
      <c r="EO10" s="237" t="s">
        <v>8</v>
      </c>
      <c r="EP10" s="237" t="s">
        <v>8</v>
      </c>
      <c r="EQ10" s="237" t="s">
        <v>8</v>
      </c>
      <c r="ER10" s="237" t="s">
        <v>8</v>
      </c>
      <c r="ES10" s="237" t="s">
        <v>8</v>
      </c>
      <c r="ET10" s="237" t="s">
        <v>8</v>
      </c>
      <c r="EU10" s="237" t="s">
        <v>8</v>
      </c>
      <c r="EV10" s="237" t="s">
        <v>8</v>
      </c>
      <c r="EW10" s="237" t="s">
        <v>8</v>
      </c>
      <c r="EX10" s="237" t="s">
        <v>8</v>
      </c>
      <c r="EY10" s="237" t="s">
        <v>8</v>
      </c>
      <c r="EZ10" s="237" t="s">
        <v>8</v>
      </c>
      <c r="FA10" s="237" t="s">
        <v>8</v>
      </c>
      <c r="FB10" s="237" t="s">
        <v>8</v>
      </c>
      <c r="FC10" s="237" t="s">
        <v>8</v>
      </c>
      <c r="FD10" s="237" t="s">
        <v>8</v>
      </c>
      <c r="FE10" s="237" t="s">
        <v>8</v>
      </c>
      <c r="FF10" s="237" t="s">
        <v>8</v>
      </c>
      <c r="FG10" s="237" t="s">
        <v>8</v>
      </c>
      <c r="FH10" s="237" t="s">
        <v>8</v>
      </c>
      <c r="FI10" s="355" t="s">
        <v>8</v>
      </c>
      <c r="FJ10" s="237" t="s">
        <v>8</v>
      </c>
      <c r="FK10" s="237" t="s">
        <v>8</v>
      </c>
      <c r="FL10" s="237" t="s">
        <v>8</v>
      </c>
      <c r="FM10" s="237" t="s">
        <v>8</v>
      </c>
      <c r="FN10" s="237" t="s">
        <v>8</v>
      </c>
      <c r="FO10" s="237" t="s">
        <v>8</v>
      </c>
      <c r="FP10" s="237" t="s">
        <v>8</v>
      </c>
      <c r="FQ10" s="237" t="s">
        <v>8</v>
      </c>
      <c r="FR10" s="237" t="s">
        <v>8</v>
      </c>
      <c r="FS10" s="237" t="s">
        <v>8</v>
      </c>
      <c r="FT10" s="237" t="s">
        <v>8</v>
      </c>
      <c r="FU10" s="237" t="s">
        <v>8</v>
      </c>
      <c r="FV10" s="237" t="s">
        <v>8</v>
      </c>
      <c r="FW10" s="237" t="s">
        <v>8</v>
      </c>
      <c r="FX10" s="237" t="s">
        <v>8</v>
      </c>
      <c r="FY10" s="237" t="s">
        <v>8</v>
      </c>
      <c r="FZ10" s="237" t="s">
        <v>8</v>
      </c>
      <c r="GA10" s="237" t="s">
        <v>8</v>
      </c>
      <c r="GB10" s="237" t="s">
        <v>8</v>
      </c>
      <c r="GC10" s="237" t="s">
        <v>8</v>
      </c>
      <c r="GD10" s="237" t="s">
        <v>8</v>
      </c>
      <c r="GE10" s="237" t="s">
        <v>8</v>
      </c>
      <c r="GF10" s="237" t="s">
        <v>8</v>
      </c>
      <c r="GG10" s="355" t="s">
        <v>8</v>
      </c>
      <c r="GH10" s="237" t="s">
        <v>8</v>
      </c>
      <c r="GI10" s="237" t="s">
        <v>8</v>
      </c>
      <c r="GJ10" s="237" t="s">
        <v>8</v>
      </c>
      <c r="GK10" s="237" t="s">
        <v>8</v>
      </c>
      <c r="GL10" s="237" t="s">
        <v>8</v>
      </c>
      <c r="GM10" s="237" t="s">
        <v>8</v>
      </c>
      <c r="GN10" s="237" t="s">
        <v>8</v>
      </c>
      <c r="GO10" s="237" t="s">
        <v>8</v>
      </c>
      <c r="GP10" s="237" t="s">
        <v>8</v>
      </c>
      <c r="GQ10" s="237" t="s">
        <v>8</v>
      </c>
      <c r="GR10" s="237" t="s">
        <v>8</v>
      </c>
      <c r="GS10" s="237" t="s">
        <v>8</v>
      </c>
      <c r="GT10" s="237" t="s">
        <v>8</v>
      </c>
      <c r="GU10" s="237" t="s">
        <v>8</v>
      </c>
      <c r="GV10" s="237" t="s">
        <v>8</v>
      </c>
      <c r="GW10" s="237" t="s">
        <v>8</v>
      </c>
      <c r="GX10" s="237" t="s">
        <v>8</v>
      </c>
      <c r="GY10" s="237" t="s">
        <v>8</v>
      </c>
      <c r="GZ10" s="237" t="s">
        <v>8</v>
      </c>
      <c r="HA10" s="237" t="s">
        <v>8</v>
      </c>
      <c r="HB10" s="237" t="s">
        <v>8</v>
      </c>
      <c r="HC10" s="237" t="s">
        <v>8</v>
      </c>
      <c r="HD10" s="237" t="s">
        <v>8</v>
      </c>
      <c r="HE10" s="355" t="s">
        <v>8</v>
      </c>
      <c r="HF10" s="237"/>
      <c r="HG10" s="237"/>
      <c r="HH10" s="237" t="s">
        <v>8</v>
      </c>
      <c r="HI10" s="237" t="s">
        <v>8</v>
      </c>
      <c r="HJ10" s="237" t="s">
        <v>8</v>
      </c>
      <c r="HK10" s="237" t="s">
        <v>8</v>
      </c>
      <c r="HL10" s="237" t="s">
        <v>8</v>
      </c>
      <c r="HM10" s="237" t="s">
        <v>8</v>
      </c>
      <c r="HN10" s="1"/>
      <c r="HO10" s="1"/>
      <c r="HP10" s="1"/>
      <c r="HQ10" s="202"/>
      <c r="HR10" s="237" t="s">
        <v>8</v>
      </c>
      <c r="HS10" s="237" t="s">
        <v>8</v>
      </c>
      <c r="HT10" s="237" t="s">
        <v>8</v>
      </c>
      <c r="HU10" s="237" t="s">
        <v>8</v>
      </c>
      <c r="HV10" s="237" t="s">
        <v>8</v>
      </c>
      <c r="HW10" s="237" t="s">
        <v>8</v>
      </c>
      <c r="HX10" s="237" t="s">
        <v>8</v>
      </c>
      <c r="HY10" s="237"/>
      <c r="HZ10" s="237" t="s">
        <v>8</v>
      </c>
      <c r="IA10" s="237" t="s">
        <v>8</v>
      </c>
      <c r="IB10" s="237" t="s">
        <v>8</v>
      </c>
      <c r="IC10" s="322"/>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row>
    <row r="11" spans="1:288" ht="20" customHeight="1">
      <c r="A11" s="3"/>
      <c r="B11" s="3"/>
      <c r="C11" s="3"/>
      <c r="D11" s="3"/>
      <c r="E11" s="192"/>
      <c r="F11" s="305"/>
      <c r="G11" s="241"/>
      <c r="H11" s="309"/>
      <c r="I11" s="140"/>
      <c r="J11" s="140"/>
      <c r="M11" s="197"/>
      <c r="N11" s="5"/>
      <c r="O11" s="197"/>
      <c r="P11" s="3"/>
      <c r="Q11" s="197"/>
      <c r="R11" s="197"/>
      <c r="S11" s="197"/>
      <c r="T11" s="140"/>
      <c r="V11" s="1"/>
      <c r="W11" s="237" t="s">
        <v>8</v>
      </c>
      <c r="X11" s="1"/>
      <c r="Y11" s="1"/>
      <c r="Z11" s="1"/>
      <c r="AA11" s="1"/>
      <c r="AB11" s="1"/>
      <c r="AC11" s="1"/>
      <c r="AD11" s="1"/>
      <c r="AE11" s="1"/>
      <c r="AF11" s="1"/>
      <c r="AG11" s="1"/>
      <c r="AH11" s="1"/>
      <c r="AI11" s="1"/>
      <c r="AJ11" s="1"/>
      <c r="AK11" s="1"/>
      <c r="AL11" s="1"/>
      <c r="AM11" s="1"/>
      <c r="AN11" s="1"/>
      <c r="AO11" s="1"/>
      <c r="AP11" s="1"/>
      <c r="AQ11" s="1"/>
      <c r="AR11" s="1"/>
      <c r="AS11" s="322"/>
      <c r="AU11" s="1"/>
      <c r="AV11" s="1"/>
      <c r="AW11" s="1"/>
      <c r="AX11" s="1"/>
      <c r="AY11" s="1"/>
      <c r="AZ11" s="1"/>
      <c r="BA11" s="1"/>
      <c r="BB11" s="1"/>
      <c r="BC11" s="1"/>
      <c r="BD11" s="1"/>
      <c r="BE11" s="239" t="s">
        <v>8</v>
      </c>
      <c r="BF11" s="1"/>
      <c r="BG11" s="1"/>
      <c r="BH11" s="1"/>
      <c r="BI11" s="1"/>
      <c r="BJ11" s="1"/>
      <c r="BK11" s="1"/>
      <c r="BL11" s="1"/>
      <c r="BM11" s="1"/>
      <c r="BN11" s="1"/>
      <c r="BO11" s="1"/>
      <c r="BP11" s="1"/>
      <c r="BQ11" s="322"/>
      <c r="BR11" s="1"/>
      <c r="BS11" s="1"/>
      <c r="BT11" s="1"/>
      <c r="BU11" s="1"/>
      <c r="BV11" s="1"/>
      <c r="BW11" s="1"/>
      <c r="BX11" s="1"/>
      <c r="BY11" s="1"/>
      <c r="BZ11" s="1"/>
      <c r="CA11" s="1"/>
      <c r="CB11" s="1"/>
      <c r="CC11" s="1"/>
      <c r="CD11" s="1"/>
      <c r="CE11" s="1"/>
      <c r="CF11" s="1"/>
      <c r="CG11" s="1"/>
      <c r="CH11" s="1"/>
      <c r="CI11" s="1"/>
      <c r="CJ11" s="1"/>
      <c r="CK11" s="1"/>
      <c r="CL11" s="1"/>
      <c r="CM11" s="1"/>
      <c r="CN11" s="1"/>
      <c r="CO11" s="322"/>
      <c r="CP11" s="1"/>
      <c r="CQ11" s="1"/>
      <c r="CR11" s="1"/>
      <c r="CS11" s="1"/>
      <c r="CT11" s="1"/>
      <c r="CU11" s="1"/>
      <c r="CV11" s="1"/>
      <c r="CW11" s="1"/>
      <c r="CX11" s="1"/>
      <c r="CY11" s="1"/>
      <c r="CZ11" s="1"/>
      <c r="DA11" s="1"/>
      <c r="DB11" s="1"/>
      <c r="DC11" s="1"/>
      <c r="DD11" s="1"/>
      <c r="DE11" s="1"/>
      <c r="DF11" s="1"/>
      <c r="DG11" s="1"/>
      <c r="DH11" s="1"/>
      <c r="DI11" s="1"/>
      <c r="DJ11" s="1"/>
      <c r="DK11" s="1"/>
      <c r="DL11" s="1"/>
      <c r="DM11" s="322"/>
      <c r="DN11" s="1"/>
      <c r="DO11" s="1"/>
      <c r="DP11" s="1"/>
      <c r="DQ11" s="1"/>
      <c r="DR11" s="1"/>
      <c r="DS11" s="1"/>
      <c r="DT11" s="1"/>
      <c r="DU11" s="1"/>
      <c r="DV11" s="1"/>
      <c r="DW11" s="1"/>
      <c r="DX11" s="1"/>
      <c r="DY11" s="1"/>
      <c r="DZ11" s="1"/>
      <c r="EA11" s="1"/>
      <c r="EB11" s="1"/>
      <c r="EC11" s="1"/>
      <c r="ED11" s="1"/>
      <c r="EE11" s="1"/>
      <c r="EF11" s="1"/>
      <c r="EG11" s="1"/>
      <c r="EH11" s="1"/>
      <c r="EI11" s="1"/>
      <c r="EJ11" s="1"/>
      <c r="EK11" s="322"/>
      <c r="EL11" s="1"/>
      <c r="EM11" s="1"/>
      <c r="EN11" s="1"/>
      <c r="EO11" s="1"/>
      <c r="EP11" s="1"/>
      <c r="EQ11" s="1"/>
      <c r="ER11" s="1"/>
      <c r="ES11" s="1"/>
      <c r="ET11" s="1"/>
      <c r="EU11" s="1"/>
      <c r="EV11" s="1"/>
      <c r="EW11" s="1"/>
      <c r="EX11" s="1"/>
      <c r="EY11" s="1"/>
      <c r="EZ11" s="1"/>
      <c r="FA11" s="1"/>
      <c r="FB11" s="1"/>
      <c r="FC11" s="1"/>
      <c r="FD11" s="1"/>
      <c r="FE11" s="1"/>
      <c r="FF11" s="1"/>
      <c r="FG11" s="1"/>
      <c r="FH11" s="1"/>
      <c r="FI11" s="322"/>
      <c r="FJ11" s="1"/>
      <c r="FK11" s="1"/>
      <c r="FL11" s="1"/>
      <c r="FM11" s="1"/>
      <c r="FN11" s="1"/>
      <c r="FO11" s="1"/>
      <c r="FP11" s="1"/>
      <c r="FQ11" s="1"/>
      <c r="FR11" s="1"/>
      <c r="FS11" s="1"/>
      <c r="FT11" s="1"/>
      <c r="FU11" s="1"/>
      <c r="FV11" s="1"/>
      <c r="FW11" s="1"/>
      <c r="FX11" s="1"/>
      <c r="FY11" s="1"/>
      <c r="FZ11" s="1"/>
      <c r="GA11" s="1"/>
      <c r="GB11" s="1"/>
      <c r="GC11" s="1"/>
      <c r="GD11" s="1"/>
      <c r="GE11" s="1"/>
      <c r="GF11" s="1"/>
      <c r="GG11" s="322"/>
      <c r="GH11" s="1"/>
      <c r="GI11" s="1"/>
      <c r="GJ11" s="1"/>
      <c r="GK11" s="1"/>
      <c r="GL11" s="1"/>
      <c r="GM11" s="1"/>
      <c r="GN11" s="1"/>
      <c r="GO11" s="1"/>
      <c r="GP11" s="1"/>
      <c r="GQ11" s="1"/>
      <c r="GR11" s="1"/>
      <c r="GS11" s="1"/>
      <c r="GT11" s="1"/>
      <c r="GU11" s="1"/>
      <c r="GV11" s="1"/>
      <c r="GW11" s="1"/>
      <c r="GX11" s="1"/>
      <c r="GY11" s="1"/>
      <c r="GZ11" s="1"/>
      <c r="HA11" s="1"/>
      <c r="HB11" s="1"/>
      <c r="HC11" s="1"/>
      <c r="HD11" s="1"/>
      <c r="HE11" s="322"/>
      <c r="HF11" s="1"/>
      <c r="HG11" s="1"/>
      <c r="HH11" s="1"/>
      <c r="HI11" s="1"/>
      <c r="HJ11" s="1"/>
      <c r="HK11" s="1"/>
      <c r="HL11" s="1"/>
      <c r="HM11" s="1"/>
      <c r="HN11" s="1"/>
      <c r="HO11" s="1"/>
      <c r="HP11" s="1"/>
      <c r="HQ11" s="202"/>
      <c r="HR11" s="1"/>
      <c r="HS11" s="1"/>
      <c r="HT11" s="1"/>
      <c r="HU11" s="1"/>
      <c r="HV11" s="1"/>
      <c r="HW11" s="1"/>
      <c r="HX11" s="1"/>
      <c r="HY11" s="1"/>
      <c r="HZ11" s="1"/>
      <c r="IA11" s="1"/>
      <c r="IB11" s="1"/>
      <c r="IC11" s="322"/>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row>
    <row r="12" spans="1:288" ht="20" customHeight="1">
      <c r="A12" s="3"/>
      <c r="B12" s="639" t="s">
        <v>103</v>
      </c>
      <c r="C12" s="641" t="s">
        <v>193</v>
      </c>
      <c r="D12" s="643" t="s">
        <v>194</v>
      </c>
      <c r="E12" s="641" t="s">
        <v>196</v>
      </c>
      <c r="F12" s="529"/>
      <c r="G12" s="609" t="s">
        <v>105</v>
      </c>
      <c r="H12" s="530"/>
      <c r="I12" s="609" t="s">
        <v>104</v>
      </c>
      <c r="J12" s="140"/>
      <c r="M12" s="197"/>
      <c r="N12" s="5"/>
      <c r="O12" s="201"/>
      <c r="P12" s="196"/>
      <c r="Q12" s="197"/>
      <c r="R12" s="197"/>
      <c r="S12" s="197"/>
      <c r="T12" s="140"/>
      <c r="V12" s="1"/>
      <c r="W12" s="1"/>
      <c r="X12" s="1"/>
      <c r="Y12" s="1"/>
      <c r="Z12" s="1"/>
      <c r="AA12" s="1"/>
      <c r="AB12" s="1"/>
      <c r="AC12" s="1"/>
      <c r="AD12" s="1"/>
      <c r="AE12" s="1"/>
      <c r="AF12" s="1"/>
      <c r="AG12" s="1"/>
      <c r="AH12" s="1"/>
      <c r="AI12" s="1"/>
      <c r="AJ12" s="1"/>
      <c r="AK12" s="1"/>
      <c r="AL12" s="1"/>
      <c r="AM12" s="1"/>
      <c r="AN12" s="1"/>
      <c r="AO12" s="1"/>
      <c r="AP12" s="1"/>
      <c r="AQ12" s="1"/>
      <c r="AR12" s="1"/>
      <c r="AS12" s="322"/>
      <c r="AU12" s="1"/>
      <c r="AV12" s="1"/>
      <c r="AW12" s="1"/>
      <c r="AX12" s="1"/>
      <c r="AY12" s="1"/>
      <c r="AZ12" s="1"/>
      <c r="BA12" s="1"/>
      <c r="BB12" s="1"/>
      <c r="BC12" s="1"/>
      <c r="BD12" s="1"/>
      <c r="BE12" s="239" t="s">
        <v>8</v>
      </c>
      <c r="BF12" s="1"/>
      <c r="BG12" s="1"/>
      <c r="BH12" s="1"/>
      <c r="BI12" s="1"/>
      <c r="BJ12" s="1"/>
      <c r="BK12" s="1"/>
      <c r="BL12" s="1"/>
      <c r="BM12" s="1"/>
      <c r="BN12" s="1"/>
      <c r="BO12" s="1"/>
      <c r="BP12" s="1"/>
      <c r="BQ12" s="322"/>
      <c r="BR12" s="1"/>
      <c r="BS12" s="1"/>
      <c r="BT12" s="1"/>
      <c r="BU12" s="1"/>
      <c r="BV12" s="1"/>
      <c r="BW12" s="1"/>
      <c r="BX12" s="1"/>
      <c r="BY12" s="1"/>
      <c r="BZ12" s="1"/>
      <c r="CA12" s="1"/>
      <c r="CB12" s="1"/>
      <c r="CC12" s="1"/>
      <c r="CD12" s="1"/>
      <c r="CE12" s="1"/>
      <c r="CF12" s="1"/>
      <c r="CG12" s="1"/>
      <c r="CH12" s="1"/>
      <c r="CI12" s="1"/>
      <c r="CJ12" s="1"/>
      <c r="CK12" s="1"/>
      <c r="CL12" s="1"/>
      <c r="CM12" s="1"/>
      <c r="CN12" s="1"/>
      <c r="CO12" s="322"/>
      <c r="CP12" s="1"/>
      <c r="CQ12" s="1"/>
      <c r="CR12" s="1"/>
      <c r="CS12" s="1"/>
      <c r="CT12" s="1"/>
      <c r="CU12" s="1"/>
      <c r="CV12" s="1"/>
      <c r="CW12" s="1"/>
      <c r="CX12" s="1"/>
      <c r="CY12" s="1"/>
      <c r="CZ12" s="1"/>
      <c r="DA12" s="1"/>
      <c r="DB12" s="1"/>
      <c r="DC12" s="1"/>
      <c r="DD12" s="1"/>
      <c r="DE12" s="1"/>
      <c r="DF12" s="1"/>
      <c r="DG12" s="1"/>
      <c r="DH12" s="1"/>
      <c r="DI12" s="1"/>
      <c r="DJ12" s="1"/>
      <c r="DK12" s="1"/>
      <c r="DL12" s="1"/>
      <c r="DM12" s="322"/>
      <c r="DN12" s="1"/>
      <c r="DO12" s="1"/>
      <c r="DP12" s="1"/>
      <c r="DQ12" s="1"/>
      <c r="DR12" s="1"/>
      <c r="DS12" s="1"/>
      <c r="DT12" s="1"/>
      <c r="DU12" s="1"/>
      <c r="DV12" s="1"/>
      <c r="DW12" s="1"/>
      <c r="DX12" s="1"/>
      <c r="DY12" s="1"/>
      <c r="DZ12" s="1"/>
      <c r="EA12" s="1"/>
      <c r="EB12" s="1"/>
      <c r="EC12" s="1"/>
      <c r="ED12" s="1"/>
      <c r="EE12" s="1"/>
      <c r="EF12" s="1"/>
      <c r="EG12" s="1"/>
      <c r="EH12" s="1"/>
      <c r="EI12" s="1"/>
      <c r="EJ12" s="1"/>
      <c r="EK12" s="322"/>
      <c r="EL12" s="1"/>
      <c r="EM12" s="1"/>
      <c r="EN12" s="1"/>
      <c r="EO12" s="1"/>
      <c r="EP12" s="1"/>
      <c r="EQ12" s="1"/>
      <c r="ER12" s="1"/>
      <c r="ES12" s="1"/>
      <c r="ET12" s="1"/>
      <c r="EU12" s="1"/>
      <c r="EV12" s="1"/>
      <c r="EW12" s="1"/>
      <c r="EX12" s="1"/>
      <c r="EY12" s="1"/>
      <c r="EZ12" s="1"/>
      <c r="FA12" s="1"/>
      <c r="FB12" s="1"/>
      <c r="FC12" s="1"/>
      <c r="FD12" s="1"/>
      <c r="FE12" s="1"/>
      <c r="FF12" s="1"/>
      <c r="FG12" s="1"/>
      <c r="FH12" s="1"/>
      <c r="FI12" s="322"/>
      <c r="FJ12" s="1"/>
      <c r="FK12" s="1"/>
      <c r="FL12" s="1"/>
      <c r="FM12" s="1"/>
      <c r="FN12" s="1"/>
      <c r="FO12" s="1"/>
      <c r="FP12" s="1"/>
      <c r="FQ12" s="1"/>
      <c r="FR12" s="1"/>
      <c r="FS12" s="1"/>
      <c r="FT12" s="1"/>
      <c r="FU12" s="1"/>
      <c r="FV12" s="1"/>
      <c r="FW12" s="1"/>
      <c r="FX12" s="1"/>
      <c r="FY12" s="1"/>
      <c r="FZ12" s="1"/>
      <c r="GA12" s="1"/>
      <c r="GB12" s="1"/>
      <c r="GC12" s="1"/>
      <c r="GD12" s="1"/>
      <c r="GE12" s="1"/>
      <c r="GF12" s="1"/>
      <c r="GG12" s="322"/>
      <c r="GH12" s="1"/>
      <c r="GI12" s="1"/>
      <c r="GJ12" s="1"/>
      <c r="GK12" s="1"/>
      <c r="GL12" s="1"/>
      <c r="GM12" s="1"/>
      <c r="GN12" s="1"/>
      <c r="GO12" s="1"/>
      <c r="GP12" s="1"/>
      <c r="GQ12" s="1"/>
      <c r="GR12" s="1"/>
      <c r="GS12" s="1"/>
      <c r="GT12" s="1"/>
      <c r="GU12" s="1"/>
      <c r="GV12" s="1"/>
      <c r="GW12" s="1"/>
      <c r="GX12" s="1"/>
      <c r="GY12" s="1"/>
      <c r="GZ12" s="1"/>
      <c r="HA12" s="1"/>
      <c r="HB12" s="1"/>
      <c r="HC12" s="1"/>
      <c r="HD12" s="1"/>
      <c r="HE12" s="322"/>
      <c r="HF12" s="1"/>
      <c r="HG12" s="1"/>
      <c r="HH12" s="1"/>
      <c r="HI12" s="1"/>
      <c r="HJ12" s="1"/>
      <c r="HK12" s="1"/>
      <c r="HL12" s="1"/>
      <c r="HM12" s="1"/>
      <c r="HN12" s="1"/>
      <c r="HO12" s="1"/>
      <c r="HP12" s="1"/>
      <c r="HQ12" s="202"/>
      <c r="HR12" s="1"/>
      <c r="HS12" s="1"/>
      <c r="HT12" s="1"/>
      <c r="HU12" s="1"/>
      <c r="HV12" s="1"/>
      <c r="HW12" s="1"/>
      <c r="HX12" s="1"/>
      <c r="HY12" s="1"/>
      <c r="HZ12" s="1"/>
      <c r="IA12" s="1"/>
      <c r="IB12" s="1"/>
      <c r="IC12" s="322"/>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row>
    <row r="13" spans="1:288" ht="20" customHeight="1">
      <c r="A13" s="3"/>
      <c r="B13" s="640"/>
      <c r="C13" s="642"/>
      <c r="D13" s="644"/>
      <c r="E13" s="642"/>
      <c r="F13" s="531"/>
      <c r="G13" s="610"/>
      <c r="H13" s="532"/>
      <c r="I13" s="610"/>
      <c r="J13" s="140"/>
      <c r="M13" s="197"/>
      <c r="N13" s="5"/>
      <c r="O13" s="201"/>
      <c r="P13" s="196"/>
      <c r="Q13" s="197"/>
      <c r="R13" s="197"/>
      <c r="S13" s="197"/>
      <c r="T13" s="140"/>
      <c r="V13" s="1"/>
      <c r="W13" s="1"/>
      <c r="X13" s="1"/>
      <c r="Y13" s="1"/>
      <c r="Z13" s="1"/>
      <c r="AA13" s="1"/>
      <c r="AB13" s="1"/>
      <c r="AC13" s="1"/>
      <c r="AD13" s="1"/>
      <c r="AE13" s="1"/>
      <c r="AF13" s="1"/>
      <c r="AG13" s="1"/>
      <c r="AH13" s="1"/>
      <c r="AI13" s="1"/>
      <c r="AJ13" s="1"/>
      <c r="AK13" s="1"/>
      <c r="AL13" s="1"/>
      <c r="AM13" s="1"/>
      <c r="AN13" s="1"/>
      <c r="AO13" s="1"/>
      <c r="AP13" s="1"/>
      <c r="AQ13" s="1"/>
      <c r="AR13" s="1"/>
      <c r="AS13" s="322"/>
      <c r="AU13" s="1"/>
      <c r="AV13" s="1"/>
      <c r="AW13" s="1"/>
      <c r="AX13" s="1"/>
      <c r="AY13" s="1"/>
      <c r="AZ13" s="1"/>
      <c r="BA13" s="1"/>
      <c r="BB13" s="1"/>
      <c r="BC13" s="1"/>
      <c r="BD13" s="1"/>
      <c r="BE13" s="239" t="s">
        <v>8</v>
      </c>
      <c r="BF13" s="1"/>
      <c r="BG13" s="1"/>
      <c r="BH13" s="1"/>
      <c r="BI13" s="1"/>
      <c r="BJ13" s="1"/>
      <c r="BK13" s="1"/>
      <c r="BL13" s="1"/>
      <c r="BM13" s="1"/>
      <c r="BN13" s="1"/>
      <c r="BO13" s="1"/>
      <c r="BP13" s="1"/>
      <c r="BQ13" s="322"/>
      <c r="BR13" s="1"/>
      <c r="BS13" s="1"/>
      <c r="BT13" s="1"/>
      <c r="BU13" s="1"/>
      <c r="BV13" s="1"/>
      <c r="BW13" s="1"/>
      <c r="BX13" s="1"/>
      <c r="BY13" s="1"/>
      <c r="BZ13" s="1"/>
      <c r="CA13" s="1"/>
      <c r="CB13" s="1"/>
      <c r="CC13" s="1"/>
      <c r="CD13" s="1"/>
      <c r="CE13" s="1"/>
      <c r="CF13" s="1"/>
      <c r="CG13" s="1"/>
      <c r="CH13" s="1"/>
      <c r="CI13" s="1"/>
      <c r="CJ13" s="1"/>
      <c r="CK13" s="1"/>
      <c r="CL13" s="1"/>
      <c r="CM13" s="1"/>
      <c r="CN13" s="1"/>
      <c r="CO13" s="322"/>
      <c r="CP13" s="1"/>
      <c r="CQ13" s="1"/>
      <c r="CR13" s="1"/>
      <c r="CS13" s="1"/>
      <c r="CT13" s="1"/>
      <c r="CU13" s="1"/>
      <c r="CV13" s="1"/>
      <c r="CW13" s="1"/>
      <c r="CX13" s="1"/>
      <c r="CY13" s="1"/>
      <c r="CZ13" s="1"/>
      <c r="DA13" s="1"/>
      <c r="DB13" s="1"/>
      <c r="DC13" s="1"/>
      <c r="DD13" s="1"/>
      <c r="DE13" s="1"/>
      <c r="DF13" s="1"/>
      <c r="DG13" s="1"/>
      <c r="DH13" s="1"/>
      <c r="DI13" s="1"/>
      <c r="DJ13" s="1"/>
      <c r="DK13" s="1"/>
      <c r="DL13" s="1"/>
      <c r="DM13" s="322"/>
      <c r="DN13" s="1"/>
      <c r="DO13" s="1"/>
      <c r="DP13" s="1"/>
      <c r="DQ13" s="1"/>
      <c r="DR13" s="1"/>
      <c r="DS13" s="1"/>
      <c r="DT13" s="1"/>
      <c r="DU13" s="1"/>
      <c r="DV13" s="1"/>
      <c r="DW13" s="1"/>
      <c r="DX13" s="1"/>
      <c r="DY13" s="1"/>
      <c r="DZ13" s="1"/>
      <c r="EA13" s="1"/>
      <c r="EB13" s="1"/>
      <c r="EC13" s="1"/>
      <c r="ED13" s="1"/>
      <c r="EE13" s="1"/>
      <c r="EF13" s="1"/>
      <c r="EG13" s="1"/>
      <c r="EH13" s="1"/>
      <c r="EI13" s="1"/>
      <c r="EJ13" s="1"/>
      <c r="EK13" s="322"/>
      <c r="EL13" s="1"/>
      <c r="EM13" s="1"/>
      <c r="EN13" s="1"/>
      <c r="EO13" s="1"/>
      <c r="EP13" s="1"/>
      <c r="EQ13" s="1"/>
      <c r="ER13" s="1"/>
      <c r="ES13" s="1"/>
      <c r="ET13" s="1"/>
      <c r="EU13" s="1"/>
      <c r="EV13" s="1"/>
      <c r="EW13" s="1"/>
      <c r="EX13" s="1"/>
      <c r="EY13" s="1"/>
      <c r="EZ13" s="1"/>
      <c r="FA13" s="1"/>
      <c r="FB13" s="1"/>
      <c r="FC13" s="1"/>
      <c r="FD13" s="1"/>
      <c r="FE13" s="1"/>
      <c r="FF13" s="1"/>
      <c r="FG13" s="1"/>
      <c r="FH13" s="1"/>
      <c r="FI13" s="322"/>
      <c r="FJ13" s="1"/>
      <c r="FK13" s="1"/>
      <c r="FL13" s="1"/>
      <c r="FM13" s="1"/>
      <c r="FN13" s="1"/>
      <c r="FO13" s="1"/>
      <c r="FP13" s="1"/>
      <c r="FQ13" s="1"/>
      <c r="FR13" s="1"/>
      <c r="FS13" s="1"/>
      <c r="FT13" s="1"/>
      <c r="FU13" s="1"/>
      <c r="FV13" s="1"/>
      <c r="FW13" s="1"/>
      <c r="FX13" s="1"/>
      <c r="FY13" s="1"/>
      <c r="FZ13" s="1"/>
      <c r="GA13" s="1"/>
      <c r="GB13" s="1"/>
      <c r="GC13" s="1"/>
      <c r="GD13" s="1"/>
      <c r="GE13" s="1"/>
      <c r="GF13" s="1"/>
      <c r="GG13" s="322"/>
      <c r="GH13" s="1"/>
      <c r="GI13" s="1"/>
      <c r="GJ13" s="1"/>
      <c r="GK13" s="1"/>
      <c r="GL13" s="1"/>
      <c r="GM13" s="1"/>
      <c r="GN13" s="1"/>
      <c r="GO13" s="1"/>
      <c r="GP13" s="1"/>
      <c r="GQ13" s="1"/>
      <c r="GR13" s="1"/>
      <c r="GS13" s="1"/>
      <c r="GT13" s="1"/>
      <c r="GU13" s="1"/>
      <c r="GV13" s="1"/>
      <c r="GW13" s="1"/>
      <c r="GX13" s="1"/>
      <c r="GY13" s="1"/>
      <c r="GZ13" s="1"/>
      <c r="HA13" s="1"/>
      <c r="HB13" s="1"/>
      <c r="HC13" s="1"/>
      <c r="HD13" s="1"/>
      <c r="HE13" s="322"/>
      <c r="HF13" s="1"/>
      <c r="HG13" s="1"/>
      <c r="HH13" s="1"/>
      <c r="HI13" s="1"/>
      <c r="HJ13" s="1"/>
      <c r="HK13" s="1"/>
      <c r="HL13" s="1"/>
      <c r="HM13" s="1"/>
      <c r="HN13" s="1"/>
      <c r="HO13" s="1"/>
      <c r="HP13" s="1"/>
      <c r="HQ13" s="202"/>
      <c r="HR13" s="1"/>
      <c r="HS13" s="1"/>
      <c r="HT13" s="1"/>
      <c r="HU13" s="1"/>
      <c r="HV13" s="1"/>
      <c r="HW13" s="1"/>
      <c r="HX13" s="1"/>
      <c r="HY13" s="1"/>
      <c r="HZ13" s="1"/>
      <c r="IA13" s="1"/>
      <c r="IB13" s="1"/>
      <c r="IC13" s="322"/>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row>
    <row r="14" spans="1:288" ht="20" customHeight="1">
      <c r="A14" s="3"/>
      <c r="B14" s="623" t="s">
        <v>143</v>
      </c>
      <c r="C14" s="533">
        <v>1</v>
      </c>
      <c r="D14" s="534" t="s">
        <v>373</v>
      </c>
      <c r="E14" s="535">
        <v>0.45</v>
      </c>
      <c r="F14" s="536">
        <f>IF(D14="Livestock Grazing",0,E14)</f>
        <v>0.45</v>
      </c>
      <c r="G14" s="537">
        <f>IF(D14="Livestock Grazing",0,$I$2*E14)</f>
        <v>1125</v>
      </c>
      <c r="H14" s="538">
        <f>$I$2*E14</f>
        <v>1125</v>
      </c>
      <c r="I14" s="539">
        <f>SUM(AT14:BQ14)</f>
        <v>814.39464600940073</v>
      </c>
      <c r="J14" s="140"/>
      <c r="M14" s="3"/>
      <c r="N14" s="3"/>
      <c r="O14" s="3"/>
      <c r="P14" s="3"/>
      <c r="Q14" s="3"/>
      <c r="R14" s="3"/>
      <c r="S14" s="3"/>
      <c r="T14" s="140"/>
      <c r="V14" s="1">
        <f>IF($D14="SW Winter Wheat after Spring Legume",$H14,0)</f>
        <v>1125</v>
      </c>
      <c r="W14" s="1">
        <f>IF($D14="SW Winter Wheat after Forage Crop",$H14,0)</f>
        <v>0</v>
      </c>
      <c r="X14" s="1">
        <f>IF($D14="DN Spring Wheat after Spring Legume",$H14,0)</f>
        <v>0</v>
      </c>
      <c r="Y14" s="1">
        <f>IF($D14="DN Spring Wheat after Forage Crop",$H14,0)</f>
        <v>0</v>
      </c>
      <c r="Z14" s="1">
        <f>IF($D14="DN Spring Wheat after Winter Crop",$H14,0)</f>
        <v>0</v>
      </c>
      <c r="AA14" s="1">
        <f>IF($D14="Chickpea after Forage Crop",$H14,0)</f>
        <v>0</v>
      </c>
      <c r="AB14" s="1">
        <f>IF($D14="Chickpea after Cereal",$H14,0)</f>
        <v>0</v>
      </c>
      <c r="AC14" s="1">
        <f>IF($D14="Spring Pea after Cereal",$H14,0)</f>
        <v>0</v>
      </c>
      <c r="AD14" s="1">
        <f>IF($D14="Forage Crop-St. John Area",$H14,0)</f>
        <v>0</v>
      </c>
      <c r="AE14" s="1">
        <f>IF($D14="Forage Crop-Genesee Area",$H14,0)</f>
        <v>0</v>
      </c>
      <c r="AF14" s="1">
        <f>IF($D14="Livestock Grazing",$H14,0)</f>
        <v>0</v>
      </c>
      <c r="AG14" s="1">
        <f>IF($D14="SW Winter Wheat after Cereal",$H14,0)</f>
        <v>0</v>
      </c>
      <c r="AH14" s="1">
        <f>IF($D14="SW Winter Wheat after Fallow",$H14,0)</f>
        <v>0</v>
      </c>
      <c r="AI14" s="1">
        <f>IF($D14="Chem-Fallow",$H14,0)</f>
        <v>0</v>
      </c>
      <c r="AJ14" s="1">
        <f>IF($D14="Flex-Fallow",$H14,0)</f>
        <v>0</v>
      </c>
      <c r="AK14" s="1">
        <f>IF($D14="Spring Barley",$H14,0)</f>
        <v>0</v>
      </c>
      <c r="AL14" s="1">
        <f>IF($D14="Roundup Ready Spring Canola",$H14,0)</f>
        <v>0</v>
      </c>
      <c r="AM14" s="1">
        <f>IF($D14="Spring Canola",$H14,0)</f>
        <v>0</v>
      </c>
      <c r="AN14" s="1">
        <f>IF($D14="Spring Lentils",$H14,0)</f>
        <v>0</v>
      </c>
      <c r="AO14" s="1">
        <f>IF($D14="SW Spring Wheat",$H14,0)</f>
        <v>0</v>
      </c>
      <c r="AP14" s="1">
        <f>IF($D14="HR Winter Wheat",$H14,0)</f>
        <v>0</v>
      </c>
      <c r="AQ14" s="1">
        <f>IF($D14="Winter Pea",$H14,0)</f>
        <v>0</v>
      </c>
      <c r="AR14" s="1">
        <f>IF($D14="Winter Canola",$H14,0)</f>
        <v>0</v>
      </c>
      <c r="AS14" s="322">
        <f>IF($D14="Forage Crop-Soil Builder Blend",$H14,0)</f>
        <v>0</v>
      </c>
      <c r="AT14" s="1">
        <f>IF($D14="SW Winter Wheat after Spring Legume",SWWinterWheatAfterSpringLegume!$H$138,0)</f>
        <v>814.39464600940073</v>
      </c>
      <c r="AU14" s="1">
        <f>IF($D14="SW Winter Wheat after Forage Crop",SWWinterWheatAfterForageCrop!$H$138,0)</f>
        <v>0</v>
      </c>
      <c r="AV14" s="1">
        <f>IF($D14="DN Spring Wheat after Spring Legume",DNSpringWinterAfterSpringLegume!$H$138,0)</f>
        <v>0</v>
      </c>
      <c r="AW14" s="1">
        <f>IF($D14="DN Spring Wheat after Forage Crop",DNSpringWheatAfterForageCrop!$H$138,0)</f>
        <v>0</v>
      </c>
      <c r="AX14" s="1">
        <f>IF($D14="DN Spring Wheat after Winter Crop",DNSpringWheatAfterWinterCrop!$H$138,0)</f>
        <v>0</v>
      </c>
      <c r="AY14" s="1">
        <f>IF($D14="Chickpea after Forage Crop",ChickpeaAfterForageCrop!$H$138,0)</f>
        <v>0</v>
      </c>
      <c r="AZ14" s="1">
        <f>IF($D14="Chickpea after Cereal",ChickpeaAfterCereal!$H$138,0)</f>
        <v>0</v>
      </c>
      <c r="BA14" s="1">
        <f>IF($D14="Spring Pea after Cereal",SpringPeaAfterCereal!$H$138,0)</f>
        <v>0</v>
      </c>
      <c r="BB14" s="1">
        <f>IF($D14="Forage Crop-St. John Area",'ForageCrop-StJohn'!$H$138,0)</f>
        <v>0</v>
      </c>
      <c r="BC14" s="1">
        <f>IF($D14="Forage Crop-Genesee Area",'ForageCrop-Genesee'!$H$138,0)</f>
        <v>0</v>
      </c>
      <c r="BD14" s="1">
        <f>IF($D14="Livestock Grazing",LivestockGrazing!$H$138,0)</f>
        <v>0</v>
      </c>
      <c r="BE14" s="1">
        <f>IF($D14="SW Winter Wheat after Cereal",SWWinterWheatafterCereal!$H$138,0)</f>
        <v>0</v>
      </c>
      <c r="BF14" s="1">
        <f>IF($D14="SW Winter Wheat after Fallow",SWWinterWheatAfterFallow!$H$138,0)</f>
        <v>0</v>
      </c>
      <c r="BG14" s="1">
        <f>IF($D14="Chem-Fallow",'Chem-Fallow'!$H$138,0)</f>
        <v>0</v>
      </c>
      <c r="BH14" s="1">
        <f>IF($D14="Flex-Fallow",'Flex-Fallow'!$H$138,0)</f>
        <v>0</v>
      </c>
      <c r="BI14" s="1">
        <f>IF($D14="Spring Barley",SpringBarley!$H$138,0)</f>
        <v>0</v>
      </c>
      <c r="BJ14" s="1">
        <f>IF($D14="Roundup Ready Spring Canola",'SpringCanola_R-Ready'!$H$138,0)</f>
        <v>0</v>
      </c>
      <c r="BK14" s="1">
        <f>IF($D14="Spring Canola",SpringCanola!$H$138,0)</f>
        <v>0</v>
      </c>
      <c r="BL14" s="1">
        <f>IF($D14="Spring Lentils",SpringLentils!$H$138,0)</f>
        <v>0</v>
      </c>
      <c r="BM14" s="1">
        <f>IF($D14="SW Spring Wheat",SWSpringWheat!$H$138,0)</f>
        <v>0</v>
      </c>
      <c r="BN14" s="1">
        <f>IF($D14="HR Winter Wheat",HRWinterWheat!$H$138,0)</f>
        <v>0</v>
      </c>
      <c r="BO14" s="1">
        <f>IF($D14="Winter Pea",WinterPea!$H$138,0)</f>
        <v>0</v>
      </c>
      <c r="BP14" s="1">
        <f>IF($D14="Winter Canola",WinterCanola!$H$138,0)</f>
        <v>0</v>
      </c>
      <c r="BQ14" s="322">
        <f>IF($D14="Forage Crop-Soil Builder Blend",ForageCrop!$H$138,0)</f>
        <v>0</v>
      </c>
      <c r="BR14" s="1">
        <f>IF($D14="SW Winter Wheat after Spring Legume",H14*SWWinterWheatAfterSpringLegume!$H$138,0)</f>
        <v>916193.97676057578</v>
      </c>
      <c r="BS14" s="1">
        <f>IF($D14="SW Winter Wheat after Forage Crop",H14*SWWinterWheatAfterForageCrop!$H$138,0)</f>
        <v>0</v>
      </c>
      <c r="BT14" s="1">
        <f>IF($D14="DN Spring Wheat after Spring Legume",H14*DNSpringWinterAfterSpringLegume!$H$138,0)</f>
        <v>0</v>
      </c>
      <c r="BU14" s="1">
        <f>IF($D14="DN Spring Wheat after Forage Crop",H14*DNSpringWheatAfterForageCrop!$H$138,0)</f>
        <v>0</v>
      </c>
      <c r="BV14" s="1">
        <f>IF($D14="DN Spring Wheat after Winter Crop",H14*DNSpringWheatAfterWinterCrop!$H$138,0)</f>
        <v>0</v>
      </c>
      <c r="BW14" s="1">
        <f>IF($D14="Chickpea after Forage Crop",H14*ChickpeaAfterForageCrop!$H$138,0)</f>
        <v>0</v>
      </c>
      <c r="BX14" s="1">
        <f>IF($D14="Chickpea after Cereal",H14*ChickpeaAfterCereal!$H$138,0)</f>
        <v>0</v>
      </c>
      <c r="BY14" s="1">
        <f>IF($D14="Spring Pea after Cereal",H14*SpringPeaAfterCereal!$H$138,0)</f>
        <v>0</v>
      </c>
      <c r="BZ14" s="1">
        <f>IF($D14="Forage Crop-St. John Area",H14*'ForageCrop-StJohn'!$H$138,0)</f>
        <v>0</v>
      </c>
      <c r="CA14" s="1">
        <f>IF($D14="Forage Crop-Genesee Area",H14*'ForageCrop-Genesee'!$H$138,0)</f>
        <v>0</v>
      </c>
      <c r="CB14" s="1">
        <f>IF($D14="Livestock Grazing",H14*LivestockGrazing!$H$138,0)</f>
        <v>0</v>
      </c>
      <c r="CC14" s="1">
        <f>IF($D14="SW Winter Wheat after Cereal",H14*SWWinterWheatafterCereal!$H$138,0)</f>
        <v>0</v>
      </c>
      <c r="CD14" s="1">
        <f>IF($D14="SW Winter Wheat after Fallow",H14*SWWinterWheatAfterFallow!$H$138,0)</f>
        <v>0</v>
      </c>
      <c r="CE14" s="1">
        <f>IF($D14="Chem-Fallow",H14*'Chem-Fallow'!$H$138,0)</f>
        <v>0</v>
      </c>
      <c r="CF14" s="1">
        <f>IF($D14="Flex-Fallow",H14*'Flex-Fallow'!$H$138,0)</f>
        <v>0</v>
      </c>
      <c r="CG14" s="1">
        <f>IF($D14="Spring Barley",H14*SpringBarley!$H$138,0)</f>
        <v>0</v>
      </c>
      <c r="CH14" s="1">
        <f>IF($D14="Roundup Ready Spring Canola",H14*'SpringCanola_R-Ready'!$H$138,0)</f>
        <v>0</v>
      </c>
      <c r="CI14" s="1">
        <f>IF($D14="Spring Canola",H14*SpringCanola!$H$138,0)</f>
        <v>0</v>
      </c>
      <c r="CJ14" s="1">
        <f>IF($D14="Spring Lentils",H14*SpringLentils!$H$138,0)</f>
        <v>0</v>
      </c>
      <c r="CK14" s="1">
        <f>IF($D14="SW Spring Wheat",H14*SWSpringWheat!$H$138,0)</f>
        <v>0</v>
      </c>
      <c r="CL14" s="1">
        <f>IF($D14="HR Winter Wheat",H14*HRWinterWheat!$H$138,0)</f>
        <v>0</v>
      </c>
      <c r="CM14" s="1">
        <f>IF($D14="Winter Pea",H14*WinterPea!$H$138,0)</f>
        <v>0</v>
      </c>
      <c r="CN14" s="1">
        <f>IF($D14="Winter Canola",H14*WinterCanola!$H$138,0)</f>
        <v>0</v>
      </c>
      <c r="CO14" s="322">
        <f>IF($D14="Forage Crop-Soil Builder Blend",H14*ForageCrop!$H$138,0)</f>
        <v>0</v>
      </c>
      <c r="CP14" s="1">
        <f>IF($D14="SW Winter Wheat after Spring Legume",H14*'Prices_Yields&amp;SeedInputs'!J$5,0)</f>
        <v>101250</v>
      </c>
      <c r="CQ14" s="1">
        <f>IF($D14="SW Winter Wheat after Forage Crop",H14*'Prices_Yields&amp;SeedInputs'!J$6,0)</f>
        <v>0</v>
      </c>
      <c r="CR14" s="1">
        <f>IF($D14="DN Spring Wheat after Spring Legume",H14*'Prices_Yields&amp;SeedInputs'!J$7,0)</f>
        <v>0</v>
      </c>
      <c r="CS14" s="1">
        <f>IF($D14="DN Spring Wheat after Forage Crop",H14*'Prices_Yields&amp;SeedInputs'!J$8,0)</f>
        <v>0</v>
      </c>
      <c r="CT14" s="1">
        <f>IF($D14="DN Spring Wheat after Winter Crop",H14*'Prices_Yields&amp;SeedInputs'!J$9,0)</f>
        <v>0</v>
      </c>
      <c r="CU14" s="1">
        <f>IF($D14="Chickpea after Forage Crop",H14*'Prices_Yields&amp;SeedInputs'!J$10,0)</f>
        <v>0</v>
      </c>
      <c r="CV14" s="1">
        <f>IF($D14="Chickpea after Cereal",H14*'Prices_Yields&amp;SeedInputs'!J$11,0)</f>
        <v>0</v>
      </c>
      <c r="CW14" s="1">
        <f>IF($D14="Spring Pea after Cereal",H14*'Prices_Yields&amp;SeedInputs'!J$12,0)</f>
        <v>0</v>
      </c>
      <c r="CX14" s="1">
        <f>IF($D14="Forage Crop-St. John Area",H14*'Prices_Yields&amp;SeedInputs'!J$13,0)</f>
        <v>0</v>
      </c>
      <c r="CY14" s="1">
        <f>IF($D14="Forage Crop-Genesee Area",H14*'Prices_Yields&amp;SeedInputs'!J$14,0)</f>
        <v>0</v>
      </c>
      <c r="CZ14" s="1">
        <f>IF($D14="Livestock Grazing",H14*'Prices_Yields&amp;SeedInputs'!J$15,0)</f>
        <v>0</v>
      </c>
      <c r="DA14" s="1">
        <f>IF($D14="SW Winter Wheat after Cereal",H14*'Prices_Yields&amp;SeedInputs'!J$16,0)</f>
        <v>0</v>
      </c>
      <c r="DB14" s="1">
        <f>IF($D14="SW Winter Wheat after Fallow",H14*'Prices_Yields&amp;SeedInputs'!J$17,0)</f>
        <v>0</v>
      </c>
      <c r="DC14" s="1">
        <f>IF($D14="Chem-Fallow",H14*'Prices_Yields&amp;SeedInputs'!J$18,0)</f>
        <v>0</v>
      </c>
      <c r="DD14" s="1">
        <f>IF($D14="Flex-Fallow",H14*'Prices_Yields&amp;SeedInputs'!J$19,0)</f>
        <v>0</v>
      </c>
      <c r="DE14" s="1">
        <f>IF($D14="Spring Barley",H14*'Prices_Yields&amp;SeedInputs'!J$20,0)</f>
        <v>0</v>
      </c>
      <c r="DF14" s="1">
        <f>IF($D14="Roundup Ready Spring Canola",H14*'Prices_Yields&amp;SeedInputs'!J$21,0)</f>
        <v>0</v>
      </c>
      <c r="DG14" s="1">
        <f>IF($D14="Spring Canola",H14*'Prices_Yields&amp;SeedInputs'!J$22,0)</f>
        <v>0</v>
      </c>
      <c r="DH14" s="1">
        <f>IF($D14="Spring Lentils",H14*'Prices_Yields&amp;SeedInputs'!J$23,0)</f>
        <v>0</v>
      </c>
      <c r="DI14" s="1">
        <f>IF($D14="SW Spring Wheat",H14*'Prices_Yields&amp;SeedInputs'!J$24,0)</f>
        <v>0</v>
      </c>
      <c r="DJ14" s="1">
        <f>IF($D14="HR Winter Wheat",H14*'Prices_Yields&amp;SeedInputs'!J$25,0)</f>
        <v>0</v>
      </c>
      <c r="DK14" s="1">
        <f>IF($D14="Winter Pea",H14*'Prices_Yields&amp;SeedInputs'!J$26,0)</f>
        <v>0</v>
      </c>
      <c r="DL14" s="1">
        <f>IF($D14="Winter Canola",H14*'Prices_Yields&amp;SeedInputs'!J$27,0)</f>
        <v>0</v>
      </c>
      <c r="DM14" s="322">
        <f>IF($D14="Forage Crop-Soil Builder Blend",H14*'Prices_Yields&amp;SeedInputs'!J$28,0)</f>
        <v>0</v>
      </c>
      <c r="DN14" s="1">
        <f>IF($D14="SW Winter Wheat after Spring Legume",$H14*SWWinterWheatAfterSpringLegume!$H$135,0)</f>
        <v>27045.838826903389</v>
      </c>
      <c r="DO14" s="1">
        <f>IF($D14="SW Winter Wheat after Forage Crop",$H14*SWWinterWheatAfterForageCrop!$H$135,0)</f>
        <v>0</v>
      </c>
      <c r="DP14" s="1">
        <f>IF($D14="DN Spring Wheat after Spring Legume",$H14*DNSpringWinterAfterSpringLegume!$H$135,0)</f>
        <v>0</v>
      </c>
      <c r="DQ14" s="1">
        <f>IF($D14="DN Spring Wheat after Forage Crop",$H14*DNSpringWheatAfterForageCrop!$H$135,0)</f>
        <v>0</v>
      </c>
      <c r="DR14" s="1">
        <f>IF($D14="DN Spring Wheat after Winter Crop",$H14*DNSpringWheatAfterWinterCrop!$H$135,0)</f>
        <v>0</v>
      </c>
      <c r="DS14" s="1">
        <f>IF($D14="Chickpea after Forage Crop",$H14*ChickpeaAfterForageCrop!$H$135,0)</f>
        <v>0</v>
      </c>
      <c r="DT14" s="1">
        <f>IF($D14="Chickpea after Cereal",$H14*ChickpeaAfterCereal!$H$135,0)</f>
        <v>0</v>
      </c>
      <c r="DU14" s="1">
        <f>IF($D14="Spring Pea after Cereal",$H14*SpringPeaAfterCereal!$H$135,0)</f>
        <v>0</v>
      </c>
      <c r="DV14" s="1">
        <f>IF($D14="Forage Crop-St. John Area",$H14*'ForageCrop-StJohn'!$H$135,0)</f>
        <v>0</v>
      </c>
      <c r="DW14" s="1">
        <f>IF($D14="Forage Crop-Genesee Area",$H14*'ForageCrop-Genesee'!$H$135,0)</f>
        <v>0</v>
      </c>
      <c r="DX14" s="1">
        <f>IF($D14="Livestock Grazing",$H14*LivestockGrazing!$H$135,0)</f>
        <v>0</v>
      </c>
      <c r="DY14" s="1">
        <f>IF($D14="SW Winter Wheat after Cereal",$H14*SWWinterWheatafterCereal!$H$135,0)</f>
        <v>0</v>
      </c>
      <c r="DZ14" s="1">
        <f>IF($D14="SW Winter Wheat after Fallow",$H14*SWWinterWheatAfterFallow!$H$135,0)</f>
        <v>0</v>
      </c>
      <c r="EA14" s="1">
        <f>IF($D14="Chem-Fallow",$H14*'Chem-Fallow'!$H$135,0)</f>
        <v>0</v>
      </c>
      <c r="EB14" s="1">
        <f>IF($D14="Flex-Fallow",$H14*'Flex-Fallow'!$H$135,0)</f>
        <v>0</v>
      </c>
      <c r="EC14" s="1">
        <f>IF($D14="Spring Barley",$H14*SpringBarley!$H$135,0)</f>
        <v>0</v>
      </c>
      <c r="ED14" s="1">
        <f>IF($D14="Roundup Ready Spring Canola",$H14*'SpringCanola_R-Ready'!$H$135,0)</f>
        <v>0</v>
      </c>
      <c r="EE14" s="1">
        <f>IF($D14="Spring Canola",$H14*SpringCanola!$H$135,0)</f>
        <v>0</v>
      </c>
      <c r="EF14" s="1">
        <f>IF($D14="Spring Lentils",$H14*SpringLentils!$H$135,0)</f>
        <v>0</v>
      </c>
      <c r="EG14" s="1">
        <f>IF($D14="SW Spring Wheat",$H14*SWSpringWheat!$H$135,0)</f>
        <v>0</v>
      </c>
      <c r="EH14" s="1">
        <f>IF($D14="HR Winter Wheat",$H14*HRWinterWheat!$H$135,0)</f>
        <v>0</v>
      </c>
      <c r="EI14" s="1">
        <f>IF($D14="Winter Pea",$H14*WinterPea!$H$135,0)</f>
        <v>0</v>
      </c>
      <c r="EJ14" s="1">
        <f>IF($D14="Winter Canola",$H14*WinterCanola!$H$135,0)</f>
        <v>0</v>
      </c>
      <c r="EK14" s="322">
        <f>IF($D14="Forage Crop-Soil Builder Blend",$H14*ForageCrop!$H$135,0)</f>
        <v>0</v>
      </c>
      <c r="EL14" s="1">
        <f>IF($D14="SW Winter Wheat after Spring Legume",$H14*SWWinterWheatAfterSpringLegume!$J$116,0)</f>
        <v>18146.171736080902</v>
      </c>
      <c r="EM14" s="1">
        <f>IF($D14="SW Winter Wheat after Forage Crop",$H14*SWWinterWheatAfterForageCrop!$J$116,0)</f>
        <v>0</v>
      </c>
      <c r="EN14" s="1">
        <f>IF($D14="DN Spring Wheat after Spring Legume",$H14*DNSpringWinterAfterSpringLegume!$J$116,0)</f>
        <v>0</v>
      </c>
      <c r="EO14" s="1">
        <f>IF($D14="DN Spring Wheat after Forage Crop",$H14*DNSpringWheatAfterForageCrop!$J$116,0)</f>
        <v>0</v>
      </c>
      <c r="EP14" s="1">
        <f>IF($D14="DN Spring Wheat after Winter Crop",$H14*DNSpringWheatAfterWinterCrop!$J$116,0)</f>
        <v>0</v>
      </c>
      <c r="EQ14" s="1">
        <f>IF($D14="Chickpea after Forage Crop",$H14*ChickpeaAfterForageCrop!$J$116,0)</f>
        <v>0</v>
      </c>
      <c r="ER14" s="1">
        <f>IF($D14="Chickpea after Cereal",$H14*ChickpeaAfterCereal!$J$116,0)</f>
        <v>0</v>
      </c>
      <c r="ES14" s="1">
        <f>IF($D14="Spring Pea after Cereal",$H14*SpringPeaAfterCereal!$J$116,0)</f>
        <v>0</v>
      </c>
      <c r="ET14" s="1">
        <f>IF($D14="Forage Crop-St. John Area",$H14*'ForageCrop-StJohn'!$J$116,0)</f>
        <v>0</v>
      </c>
      <c r="EU14" s="1">
        <f>IF($D14="Forage Crop-Genesee Area",$H14*'ForageCrop-Genesee'!$J$116,0)</f>
        <v>0</v>
      </c>
      <c r="EV14" s="1">
        <f>IF($D14="Livestock Grazing",$H14*LivestockGrazing!$J$116,0)</f>
        <v>0</v>
      </c>
      <c r="EW14" s="1">
        <f>IF($D14="SW Winter Wheat after Cereal",$H14*SWWinterWheatafterCereal!$J$116,0)</f>
        <v>0</v>
      </c>
      <c r="EX14" s="1">
        <f>IF($D14="SW Winter Wheat after Fallow",$H14*SWWinterWheatAfterFallow!$J$116,0)</f>
        <v>0</v>
      </c>
      <c r="EY14" s="1">
        <f>IF($D14="Chem-Fallow",$H14*'Chem-Fallow'!$J$116,0)</f>
        <v>0</v>
      </c>
      <c r="EZ14" s="1">
        <f>IF($D14="Flex-Fallow",$H14*'Flex-Fallow'!$J$116,0)</f>
        <v>0</v>
      </c>
      <c r="FA14" s="1">
        <f>IF($D14="Spring Barley",$H14*SpringBarley!$J$116,0)</f>
        <v>0</v>
      </c>
      <c r="FB14" s="1">
        <f>IF($D14="Roundup Ready Spring Canola",$H14*'SpringCanola_R-Ready'!$J$116,0)</f>
        <v>0</v>
      </c>
      <c r="FC14" s="1">
        <f>IF($D14="Spring Canola",$H14*SpringCanola!$J$116,0)</f>
        <v>0</v>
      </c>
      <c r="FD14" s="1">
        <f>IF($D14="Spring Lentils",$H14*SpringLentils!$J$116,0)</f>
        <v>0</v>
      </c>
      <c r="FE14" s="1">
        <f>IF($D14="SW Spring Wheat",$H14*SWSpringWheat!$J$116,0)</f>
        <v>0</v>
      </c>
      <c r="FF14" s="1">
        <f>IF($D14="HR Winter Wheat",$H14*HRWinterWheat!$J$116,0)</f>
        <v>0</v>
      </c>
      <c r="FG14" s="1">
        <f>IF($D14="Winter Pea",$H14*WinterPea!$J$116,0)</f>
        <v>0</v>
      </c>
      <c r="FH14" s="1">
        <f>IF($D14="Winter Canola",$H14*WinterCanola!$J$116,0)</f>
        <v>0</v>
      </c>
      <c r="FI14" s="322">
        <f>IF($D14="Forage Crop-Soil Builder Blend",$H14*ForageCrop!$J$116,0)</f>
        <v>0</v>
      </c>
      <c r="FJ14" s="1">
        <f>IF($D14="SW Winter Wheat after Spring Legume",$H14*SWWinterWheatAfterSpringLegume!$J$117,0)</f>
        <v>42661.57723096542</v>
      </c>
      <c r="FK14" s="1">
        <f>IF($D14="SW Winter Wheat after Forage Crop",$H14*SWWinterWheatAfterForageCrop!$J$117,0)</f>
        <v>0</v>
      </c>
      <c r="FL14" s="1">
        <f>IF($D14="DN Spring Wheat after Spring Legume",$H14*DNSpringWinterAfterSpringLegume!$J$117,0)</f>
        <v>0</v>
      </c>
      <c r="FM14" s="1">
        <f>IF($D14="DN Spring Wheat after Forage Crop",$H14*DNSpringWheatAfterForageCrop!$J$117,0)</f>
        <v>0</v>
      </c>
      <c r="FN14" s="1">
        <f>IF($D14="DN Spring Wheat after Winter Crop",$H14*DNSpringWheatAfterWinterCrop!$J$117,0)</f>
        <v>0</v>
      </c>
      <c r="FO14" s="1">
        <f>IF($D14="Chickpea after Forage Crop",$H14*ChickpeaAfterForageCrop!$J$117,0)</f>
        <v>0</v>
      </c>
      <c r="FP14" s="1">
        <f>IF($D14="Chickpea after Cereal",$H14*ChickpeaAfterCereal!$J$117,0)</f>
        <v>0</v>
      </c>
      <c r="FQ14" s="1">
        <f>IF($D14="Spring Pea after Cereal",$H14*SpringPeaAfterCereal!$J$117,0)</f>
        <v>0</v>
      </c>
      <c r="FR14" s="1">
        <f>IF($D14="Forage Crop-St. John Area",$H14*'ForageCrop-StJohn'!$J$117,0)</f>
        <v>0</v>
      </c>
      <c r="FS14" s="1">
        <f>IF($D14="Forage Crop-Genesee Area",$H14*'ForageCrop-Genesee'!$J$117,0)</f>
        <v>0</v>
      </c>
      <c r="FT14" s="1">
        <f>IF($D14="Livestock Grazing",$H14*LivestockGrazing!$J$117,0)</f>
        <v>0</v>
      </c>
      <c r="FU14" s="1">
        <f>IF($D14="SW Winter Wheat after Cereal",$H14*SWWinterWheatafterCereal!$J$117,0)</f>
        <v>0</v>
      </c>
      <c r="FV14" s="1">
        <f>IF($D14="SW Winter Wheat after Fallow",$H14*SWWinterWheatAfterFallow!$J$117,0)</f>
        <v>0</v>
      </c>
      <c r="FW14" s="1">
        <f>IF($D14="Chem-Fallow",$H14*'Chem-Fallow'!$J$117,0)</f>
        <v>0</v>
      </c>
      <c r="FX14" s="1">
        <f>IF($D14="Flex-Fallow",$H14*'Flex-Fallow'!$J$117,0)</f>
        <v>0</v>
      </c>
      <c r="FY14" s="1">
        <f>IF($D14="Spring Barley",$H14*SpringBarley!$J$117,0)</f>
        <v>0</v>
      </c>
      <c r="FZ14" s="1">
        <f>IF($D14="Roundup Ready Spring Canola",$H14*'SpringCanola_R-Ready'!$J$117,0)</f>
        <v>0</v>
      </c>
      <c r="GA14" s="1">
        <f>IF($D14="Spring Canola",$H14*SpringCanola!$J$117,0)</f>
        <v>0</v>
      </c>
      <c r="GB14" s="1">
        <f>IF($D14="Spring Lentils",$H14*SpringLentils!$J$117,0)</f>
        <v>0</v>
      </c>
      <c r="GC14" s="1">
        <f>IF($D14="SW Spring Wheat",$H14*SWSpringWheat!$J$117,0)</f>
        <v>0</v>
      </c>
      <c r="GD14" s="1">
        <f>IF($D14="HR Winter Wheat",$H14*HRWinterWheat!$J$117,0)</f>
        <v>0</v>
      </c>
      <c r="GE14" s="1">
        <f>IF($D14="Winter Pea",$H14*WinterPea!$J$117,0)</f>
        <v>0</v>
      </c>
      <c r="GF14" s="1">
        <f>IF($D14="Winter Canola",$H14*WinterCanola!$J$117,0)</f>
        <v>0</v>
      </c>
      <c r="GG14" s="322">
        <f>IF($D14="Forage Crop-Soil Builder Blend",$H14*ForageCrop!$J$117,0)</f>
        <v>0</v>
      </c>
      <c r="GH14" s="1">
        <f>IF($D14="SW Winter Wheat after Spring Legume",$H14*SWWinterWheatAfterSpringLegume!$L$118,0)</f>
        <v>20055.359801314644</v>
      </c>
      <c r="GI14" s="1">
        <f>IF($D14="SW Winter Wheat after Forage Crop",$H14*SWWinterWheatAfterForageCrop!$L$118,0)</f>
        <v>0</v>
      </c>
      <c r="GJ14" s="1">
        <f>IF($D14="DN Spring Wheat after Spring Legume",$H14*DNSpringWinterAfterSpringLegume!$L$118,0)</f>
        <v>0</v>
      </c>
      <c r="GK14" s="1">
        <f>IF($D14="DN Spring Wheat after Forage Crop",$H14*DNSpringWheatAfterForageCrop!$L$118,0)</f>
        <v>0</v>
      </c>
      <c r="GL14" s="1">
        <f>IF($D14="DN Spring Wheat after Winter Crop",$H14*DNSpringWheatAfterWinterCrop!$L$118,0)</f>
        <v>0</v>
      </c>
      <c r="GM14" s="1">
        <f>IF($D14="Chickpea after Forage Crop",$H14*ChickpeaAfterForageCrop!$L$118,0)</f>
        <v>0</v>
      </c>
      <c r="GN14" s="1">
        <f>IF($D14="Chickpea after Cereal",$H14*ChickpeaAfterCereal!$L$118,0)</f>
        <v>0</v>
      </c>
      <c r="GO14" s="1">
        <f>IF($D14="Spring Pea after Cereal",$H14*SpringPeaAfterCereal!$L$118,0)</f>
        <v>0</v>
      </c>
      <c r="GP14" s="1">
        <f>IF($D14="Forage Crop-St. John Area",$H14*'ForageCrop-StJohn'!$L$118,0)</f>
        <v>0</v>
      </c>
      <c r="GQ14" s="1">
        <f>IF($D14="Forage Crop-Genesee Area",$H14*'ForageCrop-Genesee'!$L$118,0)</f>
        <v>0</v>
      </c>
      <c r="GR14" s="1">
        <f>IF($D14="Livestock Grazing",$H14*LivestockGrazing!$L$118,0)</f>
        <v>0</v>
      </c>
      <c r="GS14" s="1">
        <f>IF($D14="SW Winter Wheat after Cereal",$H14*SWWinterWheatafterCereal!$L$118,0)</f>
        <v>0</v>
      </c>
      <c r="GT14" s="1">
        <f>IF($D14="SW Winter Wheat after Fallow",$H14*SWWinterWheatAfterFallow!$L$118,0)</f>
        <v>0</v>
      </c>
      <c r="GU14" s="1">
        <f>IF($D14="Chem-Fallow",$H14*'Chem-Fallow'!$L$118,0)</f>
        <v>0</v>
      </c>
      <c r="GV14" s="1">
        <f>IF($D14="Flex-Fallow",$H14*'Flex-Fallow'!$L$118,0)</f>
        <v>0</v>
      </c>
      <c r="GW14" s="1">
        <f>IF($D14="Spring Barley",$H14*SpringBarley!$L$118,0)</f>
        <v>0</v>
      </c>
      <c r="GX14" s="1">
        <f>IF($D14="Roundup Ready Spring Canola",$H14*'SpringCanola_R-Ready'!$L$118,0)</f>
        <v>0</v>
      </c>
      <c r="GY14" s="1">
        <f>IF($D14="Spring Canola",$H14*SpringCanola!$L$118,0)</f>
        <v>0</v>
      </c>
      <c r="GZ14" s="1">
        <f>IF($D14="Spring Lentils",$H14*SpringLentils!$L$118,0)</f>
        <v>0</v>
      </c>
      <c r="HA14" s="1">
        <f>IF($D14="SW Spring Wheat",$H14*SWSpringWheat!$L$118,0)</f>
        <v>0</v>
      </c>
      <c r="HB14" s="1">
        <f>IF($D14="HR Winter Wheat",$H14*HRWinterWheat!$L$118,0)</f>
        <v>0</v>
      </c>
      <c r="HC14" s="1">
        <f>IF($D14="Winter Pea",$H14*WinterPea!$L$118,0)</f>
        <v>0</v>
      </c>
      <c r="HD14" s="1">
        <f>IF($D14="Winter Canola",$H14*WinterCanola!$L$118,0)</f>
        <v>0</v>
      </c>
      <c r="HE14" s="322">
        <f>IF($D14="Forage Crop-Soil Builder Blend",$H14*ForageCrop!$L$118,0)</f>
        <v>0</v>
      </c>
      <c r="HF14" s="1">
        <f>IF($D14="SW Winter Wheat after Spring Legume",($H14*(SUM(SWWinterWheatAfterSpringLegume!$E$9:$E$16)+SWWinterWheatAfterSpringLegume!$G$16))/2000,0)</f>
        <v>89.1</v>
      </c>
      <c r="HG14" s="1">
        <f>IF($D14="SW Winter Wheat after Forage Crop",($H14*(SUM(SWWinterWheatAfterForageCrop!$E$9:$E$16)+SWWinterWheatAfterForageCrop!$G$17))/2000,0)</f>
        <v>0</v>
      </c>
      <c r="HH14" s="1">
        <f>IF($D14="DN Spring Wheat after Spring Legume",($H14*(SUM(DNSpringWinterAfterSpringLegume!$E$9:$E$16)+DNSpringWinterAfterSpringLegume!$G$16))/2000,0)</f>
        <v>0</v>
      </c>
      <c r="HI14" s="1">
        <f>IF($D14="DN Spring Wheat after Forage Crop",($H14*(SUM(DNSpringWheatAfterForageCrop!$E$9:$E$16)+DNSpringWheatAfterForageCrop!$G$14))/2000,0)</f>
        <v>0</v>
      </c>
      <c r="HJ14" s="1">
        <f>IF($D14="DN Spring Wheat after Winter Crop",($H14*(SUM(DNSpringWheatAfterWinterCrop!$E$9:$E$16)+DNSpringWheatAfterWinterCrop!$G$16))/2000,0)</f>
        <v>0</v>
      </c>
      <c r="HK14" s="1">
        <f>IF($D14="Chickpea after Forage Crop",($H14*(SUM(ChickpeaAfterForageCrop!$E$9:$E$16)+ChickpeaAfterForageCrop!$G$14))/2000,0)</f>
        <v>0</v>
      </c>
      <c r="HL14" s="1">
        <f>IF($D14="Chickpea after Cereal",($H14*(SUM(ChickpeaAfterCereal!$E$9:$E$16)+ChickpeaAfterCereal!$G$14))/2000,0)</f>
        <v>0</v>
      </c>
      <c r="HM14" s="1">
        <f>IF($D14="Spring Pea after Cereal",($H14*(SUM(SpringPeaAfterCereal!$E$9:$E$16)+SpringPeaAfterCereal!$G$14))/2000,0)</f>
        <v>0</v>
      </c>
      <c r="HN14" s="1">
        <f>IF($D14="Forage Crop-St. John Area",($H14*(SUM('ForageCrop-StJohn'!$E$9:$E$16)+'ForageCrop-StJohn'!$G$14))/2000,0)</f>
        <v>0</v>
      </c>
      <c r="HO14" s="1">
        <f>IF($D14="Forage Crop-Genesee Area",($H14*(SUM('ForageCrop-Genesee'!$E$9:$E$16)+'ForageCrop-Genesee'!$G$14))/2000,0)</f>
        <v>0</v>
      </c>
      <c r="HP14" s="1">
        <f>IF($D14="Livestock Grazing",($H14*(SUM(LivestockGrazing!$E$9:$E$16)+LivestockGrazing!$G$14))/2000,0)</f>
        <v>0</v>
      </c>
      <c r="HQ14" s="1">
        <f>IF($D14="SW Winter Wheat after Cereal",($H14*(SUM(SWWinterWheatafterCereal!$E$9:$E$16)+SWWinterWheatafterCereal!$G$16))/2000,0)</f>
        <v>0</v>
      </c>
      <c r="HR14" s="1">
        <f>IF($D14="SW Winter Wheat after Fallow",($H14*(SUM(SWWinterWheatAfterFallow!$E$9:$E$16)+SWWinterWheatAfterFallow!$G$14))/2000,0)</f>
        <v>0</v>
      </c>
      <c r="HS14" s="1">
        <f>IF($D14="Chem-Fallow",($H14*(SUM('Chem-Fallow'!$E$9:$E$16)+'Chem-Fallow'!$G$16))/2000,0)</f>
        <v>0</v>
      </c>
      <c r="HT14" s="1">
        <f>IF($D14="Flex-Fallow",($H14*(SUM('Flex-Fallow'!$E$9:$E$16)+'Flex-Fallow'!$G$16))/2000,0)</f>
        <v>0</v>
      </c>
      <c r="HU14" s="1">
        <f>IF($D14="Spring Barley",($H14*(SUM(SpringBarley!$E$9:$E$16)+SpringBarley!$G$16))/2000,0)</f>
        <v>0</v>
      </c>
      <c r="HV14" s="1">
        <f>IF($D14="Roundup Ready Spring Canola",($H14*(SUM('SpringCanola_R-Ready'!$E$9:$E$16)+'SpringCanola_R-Ready'!$G$14))/2000,0)</f>
        <v>0</v>
      </c>
      <c r="HW14" s="1">
        <f>IF($D14="Spring Canola",($H14*(SUM(SpringCanola!$E$9:$E$16)+SpringCanola!$G$14))/2000,0)</f>
        <v>0</v>
      </c>
      <c r="HX14" s="1">
        <f>IF($D14="Spriing Lentils",($H14*(SUM(SpringLentils!$E$9:$E$16)+SpringLentils!$G$14))/2000,0)</f>
        <v>0</v>
      </c>
      <c r="HY14" s="1">
        <f>IF($D14="SW Spring Wheat",($H14*(SUM(SWSpringWheat!$E$9:$E$16)+SWSpringWheat!$G$18))/2000,0)</f>
        <v>0</v>
      </c>
      <c r="HZ14" s="1">
        <f>IF($D14="HR Winter Wheat",($H14*(SUM(HRWinterWheat!$E$9:$E$16)+HRWinterWheat!$G$16))/2000,0)</f>
        <v>0</v>
      </c>
      <c r="IA14" s="1">
        <f>IF($D14="Winter Pea",($H14*(SUM(WinterPea!$E$9:$E$16)+WinterPea!$G$14))/2000,0)</f>
        <v>0</v>
      </c>
      <c r="IB14" s="1">
        <f>IF($D14="Winter Canola",($H14*(SUM(WinterCanola!$E$9:$E$16)+WinterCanola!$G$14))/2000,0)</f>
        <v>0</v>
      </c>
      <c r="IC14" s="322">
        <f>IF($D14="Forage Crop-Soil Builder Blend",($H14*(SUM(ForageCrop!$E$9:$E$16)+ForageCrop!$G$14))/2000,0)</f>
        <v>0</v>
      </c>
      <c r="ID14" s="1">
        <f>IF($D14="SW Winter Wheat after Spring Legume",$H14*SWWinterWheatAfterSpringLegume!$G$62,0)</f>
        <v>666.650390625</v>
      </c>
      <c r="IE14" s="1">
        <f>IF($D14="SW Winter Wheat after Forage Crop",$H14*SWWinterWheatAfterForageCrop!$G$62,0)</f>
        <v>0</v>
      </c>
      <c r="IF14" s="1">
        <f>IF($D14="DN Spring Wheat after Spring Legume",$H14*DNSpringWinterAfterSpringLegume!$G$62,0)</f>
        <v>0</v>
      </c>
      <c r="IG14" s="1">
        <f>IF($D14="DN Spring Wheat after Forage Crop",$H14*DNSpringWheatAfterForageCrop!$G$62,0)</f>
        <v>0</v>
      </c>
      <c r="IH14" s="1">
        <f>IF($D14="DN Spring Wheat after Winter Crop",$H14*DNSpringWheatAfterWinterCrop!$G$62,0)</f>
        <v>0</v>
      </c>
      <c r="II14" s="1">
        <f>IF($D14="Chickpea after Forage Crop",$H14*ChickpeaAfterForageCrop!$G$62,0)</f>
        <v>0</v>
      </c>
      <c r="IJ14" s="1">
        <f>IF($D14="Chickpea after Cereal",$H14*ChickpeaAfterCereal!$G$62,0)</f>
        <v>0</v>
      </c>
      <c r="IK14" s="1">
        <f>IF($D14="Spring Pea after Cereal",$H14*SpringPeaAfterCereal!$G$62,0)</f>
        <v>0</v>
      </c>
      <c r="IL14" s="1">
        <f>IF($D14="Forage Crop-St. John Area",$H14*'ForageCrop-StJohn'!$G$62,0)</f>
        <v>0</v>
      </c>
      <c r="IM14" s="1">
        <f>IF($D14="Forage Crop-Genesee Area",$H14*'ForageCrop-Genesee'!$G$62,0)</f>
        <v>0</v>
      </c>
      <c r="IN14" s="1">
        <f>IF($D14="Livestock Grazing",$H14*LivestockGrazing!$G$62,0)</f>
        <v>0</v>
      </c>
      <c r="IO14" s="1">
        <f>IF($D14="SW Winter Wheat after Cereal",$H14*SWWinterWheatafterCereal!$G$62,0)</f>
        <v>0</v>
      </c>
      <c r="IP14" s="1">
        <f>IF($D14="SW Winter Wheat after Fallow",$H14*SWWinterWheatAfterFallow!$G$62,0)</f>
        <v>0</v>
      </c>
      <c r="IQ14" s="1">
        <f>IF($D14="Chem-Fallow",$H14*'Chem-Fallow'!$G$62,0)</f>
        <v>0</v>
      </c>
      <c r="IR14" s="1">
        <f>IF($D14="Flex-Fallow",$H14*'Flex-Fallow'!$G$62,0)</f>
        <v>0</v>
      </c>
      <c r="IS14" s="1">
        <f>IF($D14="Spring Barley",$H14*SpringBarley!$G$62,0)</f>
        <v>0</v>
      </c>
      <c r="IT14" s="1">
        <f>IF($D14="Roundup Ready Spring Canola",$H14*'SpringCanola_R-Ready'!$G$62,0)</f>
        <v>0</v>
      </c>
      <c r="IU14" s="1">
        <f>IF($D14="Spring Canola",$H14*SpringCanola!$G$62,0)</f>
        <v>0</v>
      </c>
      <c r="IV14" s="1">
        <f>IF($D14="Spriing Lentils",$H14*SpringLentils!$G$62,0)</f>
        <v>0</v>
      </c>
      <c r="IW14" s="1">
        <f>IF($D14="SW Spring Wheat",$H14*SWSpringWheat!$G$62,0)</f>
        <v>0</v>
      </c>
      <c r="IX14" s="1">
        <f>IF($D14="HR Winter Wheat",$H14*HRWinterWheat!$G$62,0)</f>
        <v>0</v>
      </c>
      <c r="IY14" s="1">
        <f>IF($D14="Winter Pea",$H14*WinterPea!$G$62,0)</f>
        <v>0</v>
      </c>
      <c r="IZ14" s="1">
        <f>IF($D14="Winter Canola",$H14*+WinterCanola!$G$62,0)</f>
        <v>0</v>
      </c>
      <c r="JA14" s="1">
        <f>IF($D14="Forage Crop-Soil Builder Blend",$H14*ForageCrop!$G$62,0)</f>
        <v>0</v>
      </c>
      <c r="JB14" s="1">
        <f>IF($D14="SW Winter Wheat after Spring Legume",$H14*'Prices_Yields&amp;SeedInputs'!F5,0)</f>
        <v>103500</v>
      </c>
      <c r="JC14" s="1">
        <f>IF($D14="SW Winter Wheat after Forage Crop",$H14*'Prices_Yields&amp;SeedInputs'!F6,0)</f>
        <v>0</v>
      </c>
      <c r="JD14" s="1">
        <f>IF($D14="DN Spring Wheat after Spring Legume",$H14*'Prices_Yields&amp;SeedInputs'!F$7,0)</f>
        <v>0</v>
      </c>
      <c r="JE14" s="1">
        <f>IF($D14="DN Spring Wheat after Forage Crop",$H14*'Prices_Yields&amp;SeedInputs'!F$8,0)</f>
        <v>0</v>
      </c>
      <c r="JF14" s="1">
        <f>IF($D14="DN Spring Wheat after Winter Crop",$H14*'Prices_Yields&amp;SeedInputs'!F$9,0)</f>
        <v>0</v>
      </c>
      <c r="JG14" s="1">
        <f>IF($D14="Chickpea after Forage Crop",$H14*'Prices_Yields&amp;SeedInputs'!F$10,0)</f>
        <v>0</v>
      </c>
      <c r="JH14" s="1">
        <f>IF($D14="Chickpea after Cereal",$H14*'Prices_Yields&amp;SeedInputs'!F$11,0)</f>
        <v>0</v>
      </c>
      <c r="JI14" s="1">
        <f>IF($D14="Spring Pea after Cereal",$H14*'Prices_Yields&amp;SeedInputs'!F$12,0)</f>
        <v>0</v>
      </c>
      <c r="JJ14" s="1">
        <f>IF($D14="Forage Crop-St. John Area",$H14*'Prices_Yields&amp;SeedInputs'!F$13,0)</f>
        <v>0</v>
      </c>
      <c r="JK14" s="1">
        <f>IF($D14="Forage Crop-Genesee Area",$H14*'Prices_Yields&amp;SeedInputs'!F$14,0)</f>
        <v>0</v>
      </c>
      <c r="JL14" s="1">
        <f>IF($D14="Livestock Grazing",$H14*'Prices_Yields&amp;SeedInputs'!F$15,0)</f>
        <v>0</v>
      </c>
      <c r="JM14" s="1">
        <f>IF($D14="SW Winter Wheat after Cereal",$H14*'Prices_Yields&amp;SeedInputs'!F$16,0)</f>
        <v>0</v>
      </c>
      <c r="JN14" s="1">
        <f>IF($D14="SW Winter Wheat after Fallow",$H14*'Prices_Yields&amp;SeedInputs'!F$17,0)</f>
        <v>0</v>
      </c>
      <c r="JO14" s="1">
        <f>IF($D14="Chem-Fallow",$H14*'Prices_Yields&amp;SeedInputs'!F$18,0)</f>
        <v>0</v>
      </c>
      <c r="JP14" s="1">
        <f>IF($D14="Flex-Fallow",$H14*'Prices_Yields&amp;SeedInputs'!F$19,0)</f>
        <v>0</v>
      </c>
      <c r="JQ14" s="1">
        <f>IF($D14="Spring Barley",$H14*'Prices_Yields&amp;SeedInputs'!F$20,0)</f>
        <v>0</v>
      </c>
      <c r="JR14" s="1">
        <f>IF($D14="Roundup Ready Spring Canola",$H14*'Prices_Yields&amp;SeedInputs'!F$21,0)</f>
        <v>0</v>
      </c>
      <c r="JS14" s="1">
        <f>IF($D14="Spring Canola",$H14*'Prices_Yields&amp;SeedInputs'!F$22,0)</f>
        <v>0</v>
      </c>
      <c r="JT14" s="1">
        <f>IF($D14="Spriing Lentils",$H14*'Prices_Yields&amp;SeedInputs'!F$23,0)</f>
        <v>0</v>
      </c>
      <c r="JU14" s="1">
        <f>IF($D14="SW Spring Wheat",$H14*'Prices_Yields&amp;SeedInputs'!F$24,0)</f>
        <v>0</v>
      </c>
      <c r="JV14" s="1">
        <f>IF($D14="HR Winter Wheat",$H14*'Prices_Yields&amp;SeedInputs'!F$26,0)</f>
        <v>0</v>
      </c>
      <c r="JW14" s="1">
        <f>IF($D14="Winter Pea",$H14*'Prices_Yields&amp;SeedInputs'!F$26,0)</f>
        <v>0</v>
      </c>
      <c r="JX14" s="1">
        <f>IF($D14="Winter Canola",$H14*'Prices_Yields&amp;SeedInputs'!F$27,0)</f>
        <v>0</v>
      </c>
      <c r="JY14" s="1">
        <f>IF($D14="Forage Crop-Soil Builder Blend",$H14*'Prices_Yields&amp;SeedInputs'!F$28,0)</f>
        <v>0</v>
      </c>
    </row>
    <row r="15" spans="1:288" ht="20" customHeight="1">
      <c r="A15" s="3"/>
      <c r="B15" s="624"/>
      <c r="C15" s="540">
        <v>2</v>
      </c>
      <c r="D15" s="541" t="s">
        <v>377</v>
      </c>
      <c r="E15" s="535">
        <v>0.45</v>
      </c>
      <c r="F15" s="536">
        <f>IF(D15="Livestock Grazing",0,E15)</f>
        <v>0.45</v>
      </c>
      <c r="G15" s="537">
        <f>IF(D15="Livestock Grazing",0,$I$2*E15)</f>
        <v>1125</v>
      </c>
      <c r="H15" s="538">
        <f>$I$2*E15</f>
        <v>1125</v>
      </c>
      <c r="I15" s="539">
        <f>SUM(AT15:BQ15)</f>
        <v>573.94947790002584</v>
      </c>
      <c r="J15" s="140"/>
      <c r="M15" s="3"/>
      <c r="N15" s="5"/>
      <c r="O15" s="201"/>
      <c r="P15" s="200"/>
      <c r="Q15" s="197"/>
      <c r="R15" s="3"/>
      <c r="S15" s="3"/>
      <c r="T15" s="140"/>
      <c r="V15" s="1">
        <f>IF($D15="SW Winter Wheat after Spring Legume",$H15,0)</f>
        <v>0</v>
      </c>
      <c r="W15" s="1">
        <f>IF($D15="SW Winter Wheat after Forage Crop",$H15,0)</f>
        <v>0</v>
      </c>
      <c r="X15" s="1">
        <f>IF($D15="DN Spring Wheat after Spring Legume",$H15,0)</f>
        <v>0</v>
      </c>
      <c r="Y15" s="1">
        <f>IF($D15="DN Spring Wheat after Forage Crop",$H15,0)</f>
        <v>0</v>
      </c>
      <c r="Z15" s="1">
        <f>IF($D15="DN Spring Wheat after Winter Crop",$H15,0)</f>
        <v>1125</v>
      </c>
      <c r="AA15" s="1">
        <f>IF($D15="Chickpea after Forage Crop",$H15,0)</f>
        <v>0</v>
      </c>
      <c r="AB15" s="1">
        <f>IF($D15="Chickpea after Cereal",$H15,0)</f>
        <v>0</v>
      </c>
      <c r="AC15" s="1">
        <f>IF($D15="Spring Pea after Cereal",$H15,0)</f>
        <v>0</v>
      </c>
      <c r="AD15" s="1">
        <f>IF($D15="Forage Crop-St. John Area",$H15,0)</f>
        <v>0</v>
      </c>
      <c r="AE15" s="1">
        <f>IF($D15="Forage Crop-Genesee Area",$H15,0)</f>
        <v>0</v>
      </c>
      <c r="AF15" s="1">
        <f>IF($D15="Livestock Grazing",$H15,0)</f>
        <v>0</v>
      </c>
      <c r="AG15" s="1">
        <f>IF($D15="SW Winter Wheat after Cereal",$H15,0)</f>
        <v>0</v>
      </c>
      <c r="AH15" s="1">
        <f>IF($D15="SW Winter Wheat after Fallow",$H15,0)</f>
        <v>0</v>
      </c>
      <c r="AI15" s="1">
        <f>IF($D15="Chem-Fallow",$H15,0)</f>
        <v>0</v>
      </c>
      <c r="AJ15" s="1">
        <f>IF($D15="Flex-Fallow",$H15,0)</f>
        <v>0</v>
      </c>
      <c r="AK15" s="1">
        <f>IF($D15="Spring Barley",$H15,0)</f>
        <v>0</v>
      </c>
      <c r="AL15" s="1">
        <f>IF($D15="Roundup Ready Spring Canola",$H15,0)</f>
        <v>0</v>
      </c>
      <c r="AM15" s="1">
        <f>IF($D15="Spring Canola",$H15,0)</f>
        <v>0</v>
      </c>
      <c r="AN15" s="1">
        <f>IF($D15="Spring Lentils",$H15,0)</f>
        <v>0</v>
      </c>
      <c r="AO15" s="1">
        <f>IF($D15="SW Spring Wheat",$H15,0)</f>
        <v>0</v>
      </c>
      <c r="AP15" s="1">
        <f>IF($D15="HR Winter Wheat",$H15,0)</f>
        <v>0</v>
      </c>
      <c r="AQ15" s="1">
        <f>IF($D15="Winter Pea",$H15,0)</f>
        <v>0</v>
      </c>
      <c r="AR15" s="1">
        <f>IF($D15="Winter Canola",$H15,0)</f>
        <v>0</v>
      </c>
      <c r="AS15" s="322">
        <f>IF($D15="Forage Crop-Soil Builder Blend",$H15,0)</f>
        <v>0</v>
      </c>
      <c r="AT15" s="1">
        <f>IF($D15="SW Winter Wheat after Spring Legume",SWWinterWheatAfterSpringLegume!$H$138,0)</f>
        <v>0</v>
      </c>
      <c r="AU15" s="1">
        <f>IF($D15="SW Winter Wheat after Forage Crop",SWWinterWheatAfterForageCrop!$H$138,0)</f>
        <v>0</v>
      </c>
      <c r="AV15" s="1">
        <f>IF($D15="DN Spring Wheat after Spring Legume",DNSpringWinterAfterSpringLegume!$H$138,0)</f>
        <v>0</v>
      </c>
      <c r="AW15" s="1">
        <f>IF($D15="DN Spring Wheat after Forage Crop",DNSpringWheatAfterForageCrop!$H$138,0)</f>
        <v>0</v>
      </c>
      <c r="AX15" s="1">
        <f>IF($D15="DN Spring Wheat after Winter Crop",DNSpringWheatAfterWinterCrop!$H$138,0)</f>
        <v>573.94947790002584</v>
      </c>
      <c r="AY15" s="1">
        <f>IF($D15="Chickpea after Forage Crop",ChickpeaAfterForageCrop!$H$138,0)</f>
        <v>0</v>
      </c>
      <c r="AZ15" s="1">
        <f>IF($D15="Chickpea after Cereal",ChickpeaAfterCereal!$H$138,0)</f>
        <v>0</v>
      </c>
      <c r="BA15" s="1">
        <f>IF($D15="Spring Pea after Cereal",SpringPeaAfterCereal!$H$138,0)</f>
        <v>0</v>
      </c>
      <c r="BB15" s="1">
        <f>IF($D15="Forage Crop-St. John Area",'ForageCrop-StJohn'!$H$138,0)</f>
        <v>0</v>
      </c>
      <c r="BC15" s="1">
        <f>IF($D15="Forage Crop-Genesee Area",'ForageCrop-Genesee'!$H$138,0)</f>
        <v>0</v>
      </c>
      <c r="BD15" s="1">
        <f>IF($D15="Livestock Grazing",LivestockGrazing!$H$138,0)</f>
        <v>0</v>
      </c>
      <c r="BE15" s="1">
        <f>IF($D15="SW Winter Wheat after Cereal",SWWinterWheatafterCereal!$H$138,0)</f>
        <v>0</v>
      </c>
      <c r="BF15" s="1">
        <f>IF($D15="SW Winter Wheat after Fallow",SWWinterWheatAfterFallow!$H$138,0)</f>
        <v>0</v>
      </c>
      <c r="BG15" s="1">
        <f>IF($D15="Chem-Fallow",'Chem-Fallow'!$H$138,0)</f>
        <v>0</v>
      </c>
      <c r="BH15" s="1">
        <f>IF($D15="Flex-Fallow",'Flex-Fallow'!$H$138,0)</f>
        <v>0</v>
      </c>
      <c r="BI15" s="1">
        <f>IF($D15="Spring Barley",SpringBarley!$H$138,0)</f>
        <v>0</v>
      </c>
      <c r="BJ15" s="1">
        <f>IF($D15="Roundup Ready Spring Canola",'SpringCanola_R-Ready'!$H$138,0)</f>
        <v>0</v>
      </c>
      <c r="BK15" s="1">
        <f>IF($D15="Spring Canola",SpringCanola!$H$138,0)</f>
        <v>0</v>
      </c>
      <c r="BL15" s="1">
        <f>IF($D15="Spring Lentils",SpringLentils!$H$138,0)</f>
        <v>0</v>
      </c>
      <c r="BM15" s="1">
        <f>IF($D15="SW Spring Wheat",SWSpringWheat!$H$138,0)</f>
        <v>0</v>
      </c>
      <c r="BN15" s="1">
        <f>IF($D15="HR Winter Wheat",HRWinterWheat!$H$138,0)</f>
        <v>0</v>
      </c>
      <c r="BO15" s="1">
        <f>IF($D15="Winter Pea",WinterPea!$H$138,0)</f>
        <v>0</v>
      </c>
      <c r="BP15" s="1">
        <f>IF($D15="Winter Canola",WinterCanola!$H$138,0)</f>
        <v>0</v>
      </c>
      <c r="BQ15" s="322">
        <f>IF($D15="Forage Crop-Soil Builder Blend",ForageCrop!$H$138,0)</f>
        <v>0</v>
      </c>
      <c r="BR15" s="1">
        <f>IF($D15="SW Winter Wheat after Spring Legume",H15*SWWinterWheatAfterSpringLegume!$H$138,0)</f>
        <v>0</v>
      </c>
      <c r="BS15" s="1">
        <f>IF($D15="SW Winter Wheat after Forage Crop",H15*SWWinterWheatAfterForageCrop!$H$138,0)</f>
        <v>0</v>
      </c>
      <c r="BT15" s="1">
        <f>IF($D15="DN Spring Wheat after Spring Legume",H15*DNSpringWinterAfterSpringLegume!$H$138,0)</f>
        <v>0</v>
      </c>
      <c r="BU15" s="1">
        <f>IF($D15="DN Spring Wheat after Forage Crop",H15*DNSpringWheatAfterForageCrop!$H$138,0)</f>
        <v>0</v>
      </c>
      <c r="BV15" s="1">
        <f>IF($D15="DN Spring Wheat after Winter Crop",H15*DNSpringWheatAfterWinterCrop!$H$138,0)</f>
        <v>645693.16263752908</v>
      </c>
      <c r="BW15" s="1">
        <f>IF($D15="Chickpea after Forage Crop",H15*ChickpeaAfterForageCrop!$H$138,0)</f>
        <v>0</v>
      </c>
      <c r="BX15" s="1">
        <f>IF($D15="Chickpea after Cereal",H15*ChickpeaAfterCereal!$H$138,0)</f>
        <v>0</v>
      </c>
      <c r="BY15" s="1">
        <f>IF($D15="Spring Pea after Cereal",H15*SpringPeaAfterCereal!$H$138,0)</f>
        <v>0</v>
      </c>
      <c r="BZ15" s="1">
        <f>IF($D15="Forage Crop-St. John Area",H15*'ForageCrop-StJohn'!$H$138,0)</f>
        <v>0</v>
      </c>
      <c r="CA15" s="1">
        <f>IF($D15="Forage Crop-Genesee Area",H15*'ForageCrop-Genesee'!$H$138,0)</f>
        <v>0</v>
      </c>
      <c r="CB15" s="1">
        <f>IF($D15="Livestock Grazing",H15*LivestockGrazing!$H$138,0)</f>
        <v>0</v>
      </c>
      <c r="CC15" s="1">
        <f>IF($D15="SW Winter Wheat after Cereal",H15*SWWinterWheatafterCereal!$H$138,0)</f>
        <v>0</v>
      </c>
      <c r="CD15" s="1">
        <f>IF($D15="SW Winter Wheat after Fallow",H15*SWWinterWheatAfterFallow!$H$138,0)</f>
        <v>0</v>
      </c>
      <c r="CE15" s="1">
        <f>IF($D15="Chem-Fallow",H15*'Chem-Fallow'!$H$138,0)</f>
        <v>0</v>
      </c>
      <c r="CF15" s="1">
        <f>IF($D15="Flex-Fallow",H15*'Flex-Fallow'!$H$138,0)</f>
        <v>0</v>
      </c>
      <c r="CG15" s="1">
        <f>IF($D15="Spring Barley",H15*SpringBarley!$H$138,0)</f>
        <v>0</v>
      </c>
      <c r="CH15" s="1">
        <f>IF($D15="Roundup Ready Spring Canola",H15*'SpringCanola_R-Ready'!$H$138,0)</f>
        <v>0</v>
      </c>
      <c r="CI15" s="1">
        <f>IF($D15="Spring Canola",H15*SpringCanola!$H$138,0)</f>
        <v>0</v>
      </c>
      <c r="CJ15" s="1">
        <f>IF($D15="Spring Lentils",H15*SpringLentils!$H$138,0)</f>
        <v>0</v>
      </c>
      <c r="CK15" s="1">
        <f>IF($D15="SW Spring Wheat",H15*SWSpringWheat!$H$138,0)</f>
        <v>0</v>
      </c>
      <c r="CL15" s="1">
        <f>IF($D15="HR Winter Wheat",H15*HRWinterWheat!$H$138,0)</f>
        <v>0</v>
      </c>
      <c r="CM15" s="1">
        <f>IF($D15="Winter Pea",H15*WinterPea!$H$138,0)</f>
        <v>0</v>
      </c>
      <c r="CN15" s="1">
        <f>IF($D15="Winter Canola",H15*WinterCanola!$H$138,0)</f>
        <v>0</v>
      </c>
      <c r="CO15" s="322">
        <f>IF($D15="Forage Crop-Soil Builder Blend",H15*ForageCrop!$H$138,0)</f>
        <v>0</v>
      </c>
      <c r="CP15" s="1">
        <f>IF($D15="SW Winter Wheat after Spring Legume",H15*'Prices_Yields&amp;SeedInputs'!J$5,0)</f>
        <v>0</v>
      </c>
      <c r="CQ15" s="1">
        <f>IF($D15="SW Winter Wheat after Forage Crop",H15*'Prices_Yields&amp;SeedInputs'!J$6,0)</f>
        <v>0</v>
      </c>
      <c r="CR15" s="1">
        <f>IF($D15="DN Spring Wheat after Spring Legume",H15*'Prices_Yields&amp;SeedInputs'!J$7,0)</f>
        <v>0</v>
      </c>
      <c r="CS15" s="1">
        <f>IF($D15="DN Spring Wheat after Forage Crop",H15*'Prices_Yields&amp;SeedInputs'!J$8,0)</f>
        <v>0</v>
      </c>
      <c r="CT15" s="1">
        <f>IF($D15="DN Spring Wheat after Winter Crop",H15*'Prices_Yields&amp;SeedInputs'!J$9,0)</f>
        <v>112500</v>
      </c>
      <c r="CU15" s="1">
        <f>IF($D15="Chickpea after Forage Crop",H15*'Prices_Yields&amp;SeedInputs'!J$10,0)</f>
        <v>0</v>
      </c>
      <c r="CV15" s="1">
        <f>IF($D15="Chickpea after Cereal",H15*'Prices_Yields&amp;SeedInputs'!J$11,0)</f>
        <v>0</v>
      </c>
      <c r="CW15" s="1">
        <f>IF($D15="Spring Pea after Cereal",H15*'Prices_Yields&amp;SeedInputs'!J$12,0)</f>
        <v>0</v>
      </c>
      <c r="CX15" s="1">
        <f>IF($D15="Forage Crop-St. John Area",H15*'Prices_Yields&amp;SeedInputs'!J$13,0)</f>
        <v>0</v>
      </c>
      <c r="CY15" s="1">
        <f>IF($D15="Forage Crop-Genesee Area",H15*'Prices_Yields&amp;SeedInputs'!J$14,0)</f>
        <v>0</v>
      </c>
      <c r="CZ15" s="1">
        <f>IF($D15="Livestock Grazing",H15*'Prices_Yields&amp;SeedInputs'!J$15,0)</f>
        <v>0</v>
      </c>
      <c r="DA15" s="1">
        <f>IF($D15="SW Winter Wheat after Cereal",H15*'Prices_Yields&amp;SeedInputs'!J$16,0)</f>
        <v>0</v>
      </c>
      <c r="DB15" s="1">
        <f>IF($D15="SW Winter Wheat after Fallow",H15*'Prices_Yields&amp;SeedInputs'!J$17,0)</f>
        <v>0</v>
      </c>
      <c r="DC15" s="1">
        <f>IF($D15="Chem-Fallow",H15*'Prices_Yields&amp;SeedInputs'!J$18,0)</f>
        <v>0</v>
      </c>
      <c r="DD15" s="1">
        <f>IF($D15="Flex-Fallow",H15*'Prices_Yields&amp;SeedInputs'!J$19,0)</f>
        <v>0</v>
      </c>
      <c r="DE15" s="1">
        <f>IF($D15="Spring Barley",H15*'Prices_Yields&amp;SeedInputs'!J$20,0)</f>
        <v>0</v>
      </c>
      <c r="DF15" s="1">
        <f>IF($D15="Roundup Ready Spring Canola",H15*'Prices_Yields&amp;SeedInputs'!J$21,0)</f>
        <v>0</v>
      </c>
      <c r="DG15" s="1">
        <f>IF($D15="Spring Canola",H15*'Prices_Yields&amp;SeedInputs'!J$22,0)</f>
        <v>0</v>
      </c>
      <c r="DH15" s="1">
        <f>IF($D15="Spring Lentils",H15*'Prices_Yields&amp;SeedInputs'!J$23,0)</f>
        <v>0</v>
      </c>
      <c r="DI15" s="1">
        <f>IF($D15="SW Spring Wheat",H15*'Prices_Yields&amp;SeedInputs'!J$24,0)</f>
        <v>0</v>
      </c>
      <c r="DJ15" s="1">
        <f>IF($D15="HR Winter Wheat",H15*'Prices_Yields&amp;SeedInputs'!J$25,0)</f>
        <v>0</v>
      </c>
      <c r="DK15" s="1">
        <f>IF($D15="Winter Pea",H15*'Prices_Yields&amp;SeedInputs'!J$26,0)</f>
        <v>0</v>
      </c>
      <c r="DL15" s="1">
        <f>IF($D15="Winter Canola",H15*'Prices_Yields&amp;SeedInputs'!J$27,0)</f>
        <v>0</v>
      </c>
      <c r="DM15" s="322">
        <f>IF($D15="Forage Crop-Soil Builder Blend",H15*'Prices_Yields&amp;SeedInputs'!J$28,0)</f>
        <v>0</v>
      </c>
      <c r="DN15" s="1">
        <f>IF($D15="SW Winter Wheat after Spring Legume",$H15*SWWinterWheatAfterSpringLegume!$H$135,0)</f>
        <v>0</v>
      </c>
      <c r="DO15" s="1">
        <f>IF($D15="SW Winter Wheat after Forage Crop",$H15*SWWinterWheatAfterForageCrop!$H$135,0)</f>
        <v>0</v>
      </c>
      <c r="DP15" s="1">
        <f>IF($D15="DN Spring Wheat after Spring Legume",$H15*DNSpringWinterAfterSpringLegume!$H$135,0)</f>
        <v>0</v>
      </c>
      <c r="DQ15" s="1">
        <f>IF($D15="DN Spring Wheat after Forage Crop",$H15*DNSpringWheatAfterForageCrop!$H$135,0)</f>
        <v>0</v>
      </c>
      <c r="DR15" s="1">
        <f>IF($D15="DN Spring Wheat after Winter Crop",$H15*DNSpringWheatAfterWinterCrop!$H$135,0)</f>
        <v>27045.838826903389</v>
      </c>
      <c r="DS15" s="1">
        <f>IF($D15="Chickpea after Forage Crop",$H15*ChickpeaAfterForageCrop!$H$135,0)</f>
        <v>0</v>
      </c>
      <c r="DT15" s="1">
        <f>IF($D15="Chickpea after Cereal",$H15*ChickpeaAfterCereal!$H$135,0)</f>
        <v>0</v>
      </c>
      <c r="DU15" s="1">
        <f>IF($D15="Spring Pea after Cereal",$H15*SpringPeaAfterCereal!$H$135,0)</f>
        <v>0</v>
      </c>
      <c r="DV15" s="1">
        <f>IF($D15="Forage Crop-St. John Area",$H15*'ForageCrop-StJohn'!$H$135,0)</f>
        <v>0</v>
      </c>
      <c r="DW15" s="1">
        <f>IF($D15="Forage Crop-Genesee Area",$H15*'ForageCrop-Genesee'!$H$135,0)</f>
        <v>0</v>
      </c>
      <c r="DX15" s="1">
        <f>IF($D15="Livestock Grazing",$H15*LivestockGrazing!$H$135,0)</f>
        <v>0</v>
      </c>
      <c r="DY15" s="1">
        <f>IF($D15="SW Winter Wheat after Cereal",$H15*SWWinterWheatafterCereal!$H$135,0)</f>
        <v>0</v>
      </c>
      <c r="DZ15" s="1">
        <f>IF($D15="SW Winter Wheat after Fallow",$H15*SWWinterWheatAfterFallow!$H$135,0)</f>
        <v>0</v>
      </c>
      <c r="EA15" s="1">
        <f>IF($D15="Chem-Fallow",$H15*'Chem-Fallow'!$H$135,0)</f>
        <v>0</v>
      </c>
      <c r="EB15" s="1">
        <f>IF($D15="Flex-Fallow",$H15*'Flex-Fallow'!$H$135,0)</f>
        <v>0</v>
      </c>
      <c r="EC15" s="1">
        <f>IF($D15="Spring Barley",$H15*SpringBarley!$H$135,0)</f>
        <v>0</v>
      </c>
      <c r="ED15" s="1">
        <f>IF($D15="Roundup Ready Spring Canola",$H15*'SpringCanola_R-Ready'!$H$135,0)</f>
        <v>0</v>
      </c>
      <c r="EE15" s="1">
        <f>IF($D15="Spring Canola",$H15*SpringCanola!$H$135,0)</f>
        <v>0</v>
      </c>
      <c r="EF15" s="1">
        <f>IF($D15="Spring Lentils",$H15*SpringLentils!$H$135,0)</f>
        <v>0</v>
      </c>
      <c r="EG15" s="1">
        <f>IF($D15="SW Spring Wheat",$H15*SWSpringWheat!$H$135,0)</f>
        <v>0</v>
      </c>
      <c r="EH15" s="1">
        <f>IF($D15="HR Winter Wheat",$H15*HRWinterWheat!$H$135,0)</f>
        <v>0</v>
      </c>
      <c r="EI15" s="1">
        <f>IF($D15="Winter Pea",$H15*WinterPea!$H$135,0)</f>
        <v>0</v>
      </c>
      <c r="EJ15" s="1">
        <f>IF($D15="Winter Canola",$H15*WinterCanola!$H$135,0)</f>
        <v>0</v>
      </c>
      <c r="EK15" s="322">
        <f>IF($D15="Forage Crop-Soil Builder Blend",$H15*ForageCrop!$H$135,0)</f>
        <v>0</v>
      </c>
      <c r="EL15" s="1">
        <f>IF($D15="SW Winter Wheat after Spring Legume",$H15*SWWinterWheatAfterSpringLegume!$J$116,0)</f>
        <v>0</v>
      </c>
      <c r="EM15" s="1">
        <f>IF($D15="SW Winter Wheat after Forage Crop",$H15*SWWinterWheatAfterForageCrop!$J$116,0)</f>
        <v>0</v>
      </c>
      <c r="EN15" s="1">
        <f>IF($D15="DN Spring Wheat after Spring Legume",$H15*DNSpringWinterAfterSpringLegume!$J$116,0)</f>
        <v>0</v>
      </c>
      <c r="EO15" s="1">
        <f>IF($D15="DN Spring Wheat after Forage Crop",$H15*DNSpringWheatAfterForageCrop!$J$116,0)</f>
        <v>0</v>
      </c>
      <c r="EP15" s="1">
        <f>IF($D15="DN Spring Wheat after Winter Crop",$H15*DNSpringWheatAfterWinterCrop!$J$116,0)</f>
        <v>18146.171736080902</v>
      </c>
      <c r="EQ15" s="1">
        <f>IF($D15="Chickpea after Forage Crop",$H15*ChickpeaAfterForageCrop!$J$116,0)</f>
        <v>0</v>
      </c>
      <c r="ER15" s="1">
        <f>IF($D15="Chickpea after Cereal",$H15*ChickpeaAfterCereal!$J$116,0)</f>
        <v>0</v>
      </c>
      <c r="ES15" s="1">
        <f>IF($D15="Spring Pea after Cereal",$H15*SpringPeaAfterCereal!$J$116,0)</f>
        <v>0</v>
      </c>
      <c r="ET15" s="1">
        <f>IF($D15="Forage Crop-St. John Area",$H15*'ForageCrop-StJohn'!$J$116,0)</f>
        <v>0</v>
      </c>
      <c r="EU15" s="1">
        <f>IF($D15="Forage Crop-Genesee Area",$H15*'ForageCrop-Genesee'!$J$116,0)</f>
        <v>0</v>
      </c>
      <c r="EV15" s="1">
        <f>IF($D15="Livestock Grazing",$H15*LivestockGrazing!$J$116,0)</f>
        <v>0</v>
      </c>
      <c r="EW15" s="1">
        <f>IF($D15="SW Winter Wheat after Cereal",$H15*SWWinterWheatafterCereal!$J$116,0)</f>
        <v>0</v>
      </c>
      <c r="EX15" s="1">
        <f>IF($D15="SW Winter Wheat after Fallow",$H15*SWWinterWheatAfterFallow!$J$116,0)</f>
        <v>0</v>
      </c>
      <c r="EY15" s="1">
        <f>IF($D15="Chem-Fallow",$H15*'Chem-Fallow'!$J$116,0)</f>
        <v>0</v>
      </c>
      <c r="EZ15" s="1">
        <f>IF($D15="Flex-Fallow",$H15*'Flex-Fallow'!$J$116,0)</f>
        <v>0</v>
      </c>
      <c r="FA15" s="1">
        <f>IF($D15="Spring Barley",$H15*SpringBarley!$J$116,0)</f>
        <v>0</v>
      </c>
      <c r="FB15" s="1">
        <f>IF($D15="Roundup Ready Spring Canola",$H15*'SpringCanola_R-Ready'!$J$116,0)</f>
        <v>0</v>
      </c>
      <c r="FC15" s="1">
        <f>IF($D15="Spring Canola",$H15*SpringCanola!$J$116,0)</f>
        <v>0</v>
      </c>
      <c r="FD15" s="1">
        <f>IF($D15="Spring Lentils",$H15*SpringLentils!$J$116,0)</f>
        <v>0</v>
      </c>
      <c r="FE15" s="1">
        <f>IF($D15="SW Spring Wheat",$H15*SWSpringWheat!$J$116,0)</f>
        <v>0</v>
      </c>
      <c r="FF15" s="1">
        <f>IF($D15="HR Winter Wheat",$H15*HRWinterWheat!$J$116,0)</f>
        <v>0</v>
      </c>
      <c r="FG15" s="1">
        <f>IF($D15="Winter Pea",$H15*WinterPea!$J$116,0)</f>
        <v>0</v>
      </c>
      <c r="FH15" s="1">
        <f>IF($D15="Winter Canola",$H15*WinterCanola!$J$116,0)</f>
        <v>0</v>
      </c>
      <c r="FI15" s="322">
        <f>IF($D15="Forage Crop-Soil Builder Blend",$H15*ForageCrop!$J$116,0)</f>
        <v>0</v>
      </c>
      <c r="FJ15" s="1">
        <f>IF($D15="SW Winter Wheat after Spring Legume",$H15*SWWinterWheatAfterSpringLegume!$J$117,0)</f>
        <v>0</v>
      </c>
      <c r="FK15" s="1">
        <f>IF($D15="SW Winter Wheat after Forage Crop",$H15*SWWinterWheatAfterForageCrop!$J$117,0)</f>
        <v>0</v>
      </c>
      <c r="FL15" s="1">
        <f>IF($D15="DN Spring Wheat after Spring Legume",$H15*DNSpringWinterAfterSpringLegume!$J$117,0)</f>
        <v>0</v>
      </c>
      <c r="FM15" s="1">
        <f>IF($D15="DN Spring Wheat after Forage Crop",$H15*DNSpringWheatAfterForageCrop!$J$117,0)</f>
        <v>0</v>
      </c>
      <c r="FN15" s="1">
        <f>IF($D15="DN Spring Wheat after Winter Crop",$H15*DNSpringWheatAfterWinterCrop!$J$117,0)</f>
        <v>42661.57723096542</v>
      </c>
      <c r="FO15" s="1">
        <f>IF($D15="Chickpea after Forage Crop",$H15*ChickpeaAfterForageCrop!$J$117,0)</f>
        <v>0</v>
      </c>
      <c r="FP15" s="1">
        <f>IF($D15="Chickpea after Cereal",$H15*ChickpeaAfterCereal!$J$117,0)</f>
        <v>0</v>
      </c>
      <c r="FQ15" s="1">
        <f>IF($D15="Spring Pea after Cereal",$H15*SpringPeaAfterCereal!$J$117,0)</f>
        <v>0</v>
      </c>
      <c r="FR15" s="1">
        <f>IF($D15="Forage Crop-St. John Area",$H15*'ForageCrop-StJohn'!$J$117,0)</f>
        <v>0</v>
      </c>
      <c r="FS15" s="1">
        <f>IF($D15="Forage Crop-Genesee Area",$H15*'ForageCrop-Genesee'!$J$117,0)</f>
        <v>0</v>
      </c>
      <c r="FT15" s="1">
        <f>IF($D15="Livestock Grazing",$H15*LivestockGrazing!$J$117,0)</f>
        <v>0</v>
      </c>
      <c r="FU15" s="1">
        <f>IF($D15="SW Winter Wheat after Cereal",$H15*SWWinterWheatafterCereal!$J$117,0)</f>
        <v>0</v>
      </c>
      <c r="FV15" s="1">
        <f>IF($D15="SW Winter Wheat after Fallow",$H15*SWWinterWheatAfterFallow!$J$117,0)</f>
        <v>0</v>
      </c>
      <c r="FW15" s="1">
        <f>IF($D15="Chem-Fallow",$H15*'Chem-Fallow'!$J$117,0)</f>
        <v>0</v>
      </c>
      <c r="FX15" s="1">
        <f>IF($D15="Flex-Fallow",$H15*'Flex-Fallow'!$J$117,0)</f>
        <v>0</v>
      </c>
      <c r="FY15" s="1">
        <f>IF($D15="Spring Barley",$H15*SpringBarley!$J$117,0)</f>
        <v>0</v>
      </c>
      <c r="FZ15" s="1">
        <f>IF($D15="Roundup Ready Spring Canola",$H15*'SpringCanola_R-Ready'!$J$117,0)</f>
        <v>0</v>
      </c>
      <c r="GA15" s="1">
        <f>IF($D15="Spring Canola",$H15*SpringCanola!$J$117,0)</f>
        <v>0</v>
      </c>
      <c r="GB15" s="1">
        <f>IF($D15="Spring Lentils",$H15*SpringLentils!$J$117,0)</f>
        <v>0</v>
      </c>
      <c r="GC15" s="1">
        <f>IF($D15="SW Spring Wheat",$H15*SWSpringWheat!$J$117,0)</f>
        <v>0</v>
      </c>
      <c r="GD15" s="1">
        <f>IF($D15="HR Winter Wheat",$H15*HRWinterWheat!$J$117,0)</f>
        <v>0</v>
      </c>
      <c r="GE15" s="1">
        <f>IF($D15="Winter Pea",$H15*WinterPea!$J$117,0)</f>
        <v>0</v>
      </c>
      <c r="GF15" s="1">
        <f>IF($D15="Winter Canola",$H15*WinterCanola!$J$117,0)</f>
        <v>0</v>
      </c>
      <c r="GG15" s="322">
        <f>IF($D15="Forage Crop-Soil Builder Blend",$H15*ForageCrop!$J$117,0)</f>
        <v>0</v>
      </c>
      <c r="GH15" s="1">
        <f>IF($D15="SW Winter Wheat after Spring Legume",$H15*SWWinterWheatAfterSpringLegume!$L$118,0)</f>
        <v>0</v>
      </c>
      <c r="GI15" s="1">
        <f>IF($D15="SW Winter Wheat after Forage Crop",$H15*SWWinterWheatAfterForageCrop!$L$118,0)</f>
        <v>0</v>
      </c>
      <c r="GJ15" s="1">
        <f>IF($D15="DN Spring Wheat after Spring Legume",$H15*DNSpringWinterAfterSpringLegume!$L$118,0)</f>
        <v>0</v>
      </c>
      <c r="GK15" s="1">
        <f>IF($D15="DN Spring Wheat after Forage Crop",$H15*DNSpringWheatAfterForageCrop!$L$118,0)</f>
        <v>0</v>
      </c>
      <c r="GL15" s="1">
        <f>IF($D15="DN Spring Wheat after Winter Crop",$H15*DNSpringWheatAfterWinterCrop!$L$118,0)</f>
        <v>20055.359801314644</v>
      </c>
      <c r="GM15" s="1">
        <f>IF($D15="Chickpea after Forage Crop",$H15*ChickpeaAfterForageCrop!$L$118,0)</f>
        <v>0</v>
      </c>
      <c r="GN15" s="1">
        <f>IF($D15="Chickpea after Cereal",$H15*ChickpeaAfterCereal!$L$118,0)</f>
        <v>0</v>
      </c>
      <c r="GO15" s="1">
        <f>IF($D15="Spring Pea after Cereal",$H15*SpringPeaAfterCereal!$L$118,0)</f>
        <v>0</v>
      </c>
      <c r="GP15" s="1">
        <f>IF($D15="Forage Crop-St. John Area",$H15*'ForageCrop-StJohn'!$L$118,0)</f>
        <v>0</v>
      </c>
      <c r="GQ15" s="1">
        <f>IF($D15="Forage Crop-Genesee Area",$H15*'ForageCrop-Genesee'!$L$118,0)</f>
        <v>0</v>
      </c>
      <c r="GR15" s="1">
        <f>IF($D15="Livestock Grazing",$H15*LivestockGrazing!$L$118,0)</f>
        <v>0</v>
      </c>
      <c r="GS15" s="1">
        <f>IF($D15="SW Winter Wheat after Cereal",$H15*SWWinterWheatafterCereal!$L$118,0)</f>
        <v>0</v>
      </c>
      <c r="GT15" s="1">
        <f>IF($D15="SW Winter Wheat after Fallow",$H15*SWWinterWheatAfterFallow!$L$118,0)</f>
        <v>0</v>
      </c>
      <c r="GU15" s="1">
        <f>IF($D15="Chem-Fallow",$H15*'Chem-Fallow'!$L$118,0)</f>
        <v>0</v>
      </c>
      <c r="GV15" s="1">
        <f>IF($D15="Flex-Fallow",$H15*'Flex-Fallow'!$L$118,0)</f>
        <v>0</v>
      </c>
      <c r="GW15" s="1">
        <f>IF($D15="Spring Barley",$H15*SpringBarley!$L$118,0)</f>
        <v>0</v>
      </c>
      <c r="GX15" s="1">
        <f>IF($D15="Roundup Ready Spring Canola",$H15*'SpringCanola_R-Ready'!$L$118,0)</f>
        <v>0</v>
      </c>
      <c r="GY15" s="1">
        <f>IF($D15="Spring Canola",$H15*SpringCanola!$L$118,0)</f>
        <v>0</v>
      </c>
      <c r="GZ15" s="1">
        <f>IF($D15="Spring Lentils",$H15*SpringLentils!$L$118,0)</f>
        <v>0</v>
      </c>
      <c r="HA15" s="1">
        <f>IF($D15="SW Spring Wheat",$H15*SWSpringWheat!$L$118,0)</f>
        <v>0</v>
      </c>
      <c r="HB15" s="1">
        <f>IF($D15="HR Winter Wheat",$H15*HRWinterWheat!$L$118,0)</f>
        <v>0</v>
      </c>
      <c r="HC15" s="1">
        <f>IF($D15="Winter Pea",$H15*WinterPea!$L$118,0)</f>
        <v>0</v>
      </c>
      <c r="HD15" s="1">
        <f>IF($D15="Winter Canola",$H15*WinterCanola!$L$118,0)</f>
        <v>0</v>
      </c>
      <c r="HE15" s="322">
        <f>IF($D15="Forage Crop-Soil Builder Blend",$H15*ForageCrop!$L$118,0)</f>
        <v>0</v>
      </c>
      <c r="HF15" s="1">
        <f>IF($D15="SW Winter Wheat after Spring Legume",($H15*(SUM(SWWinterWheatAfterSpringLegume!$E$9:$E$16)+SWWinterWheatAfterSpringLegume!$G$16))/2000,0)</f>
        <v>0</v>
      </c>
      <c r="HG15" s="1">
        <f>IF($D15="SW Winter Wheat after Forage Crop",($H15*(SUM(SWWinterWheatAfterForageCrop!$E$9:$E$16)+SWWinterWheatAfterForageCrop!$G$17))/2000,0)</f>
        <v>0</v>
      </c>
      <c r="HH15" s="1">
        <f>IF($D15="DN Spring Wheat after Spring Legume",($H15*(SUM(DNSpringWinterAfterSpringLegume!$E$9:$E$16)+DNSpringWinterAfterSpringLegume!$G$16))/2000,0)</f>
        <v>0</v>
      </c>
      <c r="HI15" s="1">
        <f>IF($D15="DN Spring Wheat after Forage Crop",($H15*(SUM(DNSpringWheatAfterForageCrop!$E$9:$E$16)+DNSpringWheatAfterForageCrop!$G$14))/2000,0)</f>
        <v>0</v>
      </c>
      <c r="HJ15" s="1">
        <f>IF($D15="DN Spring Wheat after Winter Crop",($H15*(SUM(DNSpringWheatAfterWinterCrop!$E$9:$E$16)+DNSpringWheatAfterWinterCrop!$G$16))/2000,0)</f>
        <v>90.956249999999997</v>
      </c>
      <c r="HK15" s="1">
        <f>IF($D15="Chickpea after Forage Crop",($H15*(SUM(ChickpeaAfterForageCrop!$E$9:$E$16)+ChickpeaAfterForageCrop!$G$14))/2000,0)</f>
        <v>0</v>
      </c>
      <c r="HL15" s="1">
        <f>IF($D15="Chickpea after Cereal",($H15*(SUM(ChickpeaAfterCereal!$E$9:$E$16)+ChickpeaAfterCereal!$G$14))/2000,0)</f>
        <v>0</v>
      </c>
      <c r="HM15" s="1">
        <f>IF($D15="Spring Pea after Cereal",($H15*(SUM(SpringPeaAfterCereal!$E$9:$E$16)+SpringPeaAfterCereal!$G$14))/2000,0)</f>
        <v>0</v>
      </c>
      <c r="HN15" s="1">
        <f>IF($D15="Forage Crop-St. John Area",($H15*(SUM('ForageCrop-StJohn'!$E$9:$E$16)+'ForageCrop-StJohn'!$G$14))/2000,0)</f>
        <v>0</v>
      </c>
      <c r="HO15" s="1">
        <f>IF($D15="Forage Crop-Genesee Area",($H15*(SUM('ForageCrop-Genesee'!$E$9:$E$16)+'ForageCrop-Genesee'!$G$14))/2000,0)</f>
        <v>0</v>
      </c>
      <c r="HP15" s="1">
        <f>IF($D15="Livestock Grazing",($H15*(SUM(LivestockGrazing!$E$9:$E$16)+LivestockGrazing!$G$14))/2000,0)</f>
        <v>0</v>
      </c>
      <c r="HQ15" s="1">
        <f>IF($D15="SW Winter Wheat after Cereal",($H15*(SUM(SWWinterWheatafterCereal!$E$9:$E$16)+SWWinterWheatafterCereal!$G$16))/2000,0)</f>
        <v>0</v>
      </c>
      <c r="HR15" s="1">
        <f>IF($D15="SW Winter Wheat after Fallow",($H15*(SUM(SWWinterWheatAfterFallow!$E$9:$E$16)+SWWinterWheatAfterFallow!$G$14))/2000,0)</f>
        <v>0</v>
      </c>
      <c r="HS15" s="1">
        <f>IF($D15="Chem-Fallow",($H15*(SUM('Chem-Fallow'!$E$9:$E$16)+'Chem-Fallow'!$G$16))/2000,0)</f>
        <v>0</v>
      </c>
      <c r="HT15" s="1">
        <f>IF($D15="Flex-Fallow",($H15*(SUM('Flex-Fallow'!$E$9:$E$16)+'Flex-Fallow'!$G$16))/2000,0)</f>
        <v>0</v>
      </c>
      <c r="HU15" s="1">
        <f>IF($D15="Spring Barley",($H15*(SUM(SpringBarley!$E$9:$E$16)+SpringBarley!$G$16))/2000,0)</f>
        <v>0</v>
      </c>
      <c r="HV15" s="1">
        <f>IF($D15="Roundup Ready Spring Canola",($H15*(SUM('SpringCanola_R-Ready'!$E$9:$E$16)+'SpringCanola_R-Ready'!$G$14))/2000,0)</f>
        <v>0</v>
      </c>
      <c r="HW15" s="1">
        <f>IF($D15="Spring Canola",($H15*(SUM(SpringCanola!$E$9:$E$16)+SpringCanola!$G$14))/2000,0)</f>
        <v>0</v>
      </c>
      <c r="HX15" s="1">
        <f>IF($D15="Spriing Lentils",($H15*(SUM(SpringLentils!$E$9:$E$16)+SpringLentils!$G$14))/2000,0)</f>
        <v>0</v>
      </c>
      <c r="HY15" s="1">
        <f>IF($D15="SW Spring Wheat",($H15*(SUM(SWSpringWheat!$E$9:$E$16)+SWSpringWheat!$G$18))/2000,0)</f>
        <v>0</v>
      </c>
      <c r="HZ15" s="1">
        <f>IF($D15="HR Winter Wheat",($H15*(SUM(HRWinterWheat!$E$9:$E$16)+HRWinterWheat!$G$16))/2000,0)</f>
        <v>0</v>
      </c>
      <c r="IA15" s="1">
        <f>IF($D15="Winter Pea",($H15*(SUM(WinterPea!$E$9:$E$16)+WinterPea!$G$14))/2000,0)</f>
        <v>0</v>
      </c>
      <c r="IB15" s="1">
        <f>IF($D15="Winter Canola",($H15*(SUM(WinterCanola!$E$9:$E$16)+WinterCanola!$G$14))/2000,0)</f>
        <v>0</v>
      </c>
      <c r="IC15" s="322">
        <f>IF($D15="Forage Crop-Soil Builder Blend",($H15*(SUM(ForageCrop!$E$9:$E$16)+ForageCrop!$G$14))/2000,0)</f>
        <v>0</v>
      </c>
      <c r="ID15" s="1">
        <f>IF($D15="SW Winter Wheat after Spring Legume",$H15*SWWinterWheatAfterSpringLegume!$G$62,0)</f>
        <v>0</v>
      </c>
      <c r="IE15" s="1">
        <f>IF($D15="SW Winter Wheat after Forage Crop",$H15*SWWinterWheatAfterForageCrop!$G$62,0)</f>
        <v>0</v>
      </c>
      <c r="IF15" s="1">
        <f>IF($D15="DN Spring Wheat after Spring Legume",$H15*DNSpringWinterAfterSpringLegume!$G$62,0)</f>
        <v>0</v>
      </c>
      <c r="IG15" s="1">
        <f>IF($D15="DN Spring Wheat after Forage Crop",$H15*DNSpringWheatAfterForageCrop!$G$62,0)</f>
        <v>0</v>
      </c>
      <c r="IH15" s="1">
        <f>IF($D15="DN Spring Wheat after Winter Crop",$H15*DNSpringWheatAfterWinterCrop!$G$62,0)</f>
        <v>651.708984375</v>
      </c>
      <c r="II15" s="1">
        <f>IF($D15="Chickpea after Forage Crop",$H15*ChickpeaAfterForageCrop!$G$62,0)</f>
        <v>0</v>
      </c>
      <c r="IJ15" s="1">
        <f>IF($D15="Chickpea after Cereal",$H15*ChickpeaAfterCereal!$G$62,0)</f>
        <v>0</v>
      </c>
      <c r="IK15" s="1">
        <f>IF($D15="Spring Pea after Cereal",$H15*SpringPeaAfterCereal!$G$62,0)</f>
        <v>0</v>
      </c>
      <c r="IL15" s="1">
        <f>IF($D15="Forage Crop-St. John Area",$H15*'ForageCrop-StJohn'!$G$62,0)</f>
        <v>0</v>
      </c>
      <c r="IM15" s="1">
        <f>IF($D15="Forage Crop-Genesee Area",$H15*'ForageCrop-Genesee'!$G$62,0)</f>
        <v>0</v>
      </c>
      <c r="IN15" s="1">
        <f>IF($D15="Livestock Grazing",$H15*LivestockGrazing!$G$62,0)</f>
        <v>0</v>
      </c>
      <c r="IO15" s="1">
        <f>IF($D15="SW Winter Wheat after Cereal",$H15*SWWinterWheatafterCereal!$G$62,0)</f>
        <v>0</v>
      </c>
      <c r="IP15" s="1">
        <f>IF($D15="SW Winter Wheat after Fallow",$H15*SWWinterWheatAfterFallow!$G$62,0)</f>
        <v>0</v>
      </c>
      <c r="IQ15" s="1">
        <f>IF($D15="Chem-Fallow",$H15*'Chem-Fallow'!$G$62,0)</f>
        <v>0</v>
      </c>
      <c r="IR15" s="1">
        <f>IF($D15="Flex-Fallow",$H15*'Flex-Fallow'!$G$62,0)</f>
        <v>0</v>
      </c>
      <c r="IS15" s="1">
        <f>IF($D15="Spring Barley",$H15*SpringBarley!$G$62,0)</f>
        <v>0</v>
      </c>
      <c r="IT15" s="1">
        <f>IF($D15="Roundup Ready Spring Canola",$H15*'SpringCanola_R-Ready'!$G$62,0)</f>
        <v>0</v>
      </c>
      <c r="IU15" s="1">
        <f>IF($D15="Spring Canola",$H15*SpringCanola!$G$62,0)</f>
        <v>0</v>
      </c>
      <c r="IV15" s="1">
        <f>IF($D15="Spriing Lentils",$H15*SpringLentils!$G$62,0)</f>
        <v>0</v>
      </c>
      <c r="IW15" s="1">
        <f>IF($D15="SW Spring Wheat",$H15*SWSpringWheat!$G$62,0)</f>
        <v>0</v>
      </c>
      <c r="IX15" s="1">
        <f>IF($D15="HR Winter Wheat",$H15*HRWinterWheat!$G$62,0)</f>
        <v>0</v>
      </c>
      <c r="IY15" s="1">
        <f>IF($D15="Winter Pea",$H15*WinterPea!$G$62,0)</f>
        <v>0</v>
      </c>
      <c r="IZ15" s="1">
        <f>IF($D15="Winter Canola",$H15*+WinterCanola!$G$62,0)</f>
        <v>0</v>
      </c>
      <c r="JA15" s="1">
        <f>IF($D15="Forage Crop-Soil Builder Blend",$H15*ForageCrop!$G$62,0)</f>
        <v>0</v>
      </c>
      <c r="JB15" s="1">
        <f>IF($D15="SW Winter Wheat after Spring Legume",$H15*'Prices_Yields&amp;SeedInputs'!F5,0)</f>
        <v>0</v>
      </c>
      <c r="JC15" s="1">
        <f>IF($D15="SW Winter Wheat after Forage Crop",$H15*'Prices_Yields&amp;SeedInputs'!F6,0)</f>
        <v>0</v>
      </c>
      <c r="JD15" s="1">
        <f>IF($D15="DN Spring Wheat after Spring Legume",$H15*'Prices_Yields&amp;SeedInputs'!F$7,0)</f>
        <v>0</v>
      </c>
      <c r="JE15" s="1">
        <f>IF($D15="DN Spring Wheat after Forage Crop",$H15*'Prices_Yields&amp;SeedInputs'!F$8,0)</f>
        <v>0</v>
      </c>
      <c r="JF15" s="1">
        <f>IF($D15="DN Spring Wheat after Winter Crop",$H15*'Prices_Yields&amp;SeedInputs'!F$9,0)</f>
        <v>69750</v>
      </c>
      <c r="JG15" s="1">
        <f>IF($D15="Chickpea after Forage Crop",$H15*'Prices_Yields&amp;SeedInputs'!F$10,0)</f>
        <v>0</v>
      </c>
      <c r="JH15" s="1">
        <f>IF($D15="Chickpea after Cereal",$H15*'Prices_Yields&amp;SeedInputs'!F$11,0)</f>
        <v>0</v>
      </c>
      <c r="JI15" s="1">
        <f>IF($D15="Spring Pea after Cereal",$H15*'Prices_Yields&amp;SeedInputs'!F$12,0)</f>
        <v>0</v>
      </c>
      <c r="JJ15" s="1">
        <f>IF($D15="Forage Crop-St. John Area",$H15*'Prices_Yields&amp;SeedInputs'!F$13,0)</f>
        <v>0</v>
      </c>
      <c r="JK15" s="1">
        <f>IF($D15="Forage Crop-Genesee Area",$H15*'Prices_Yields&amp;SeedInputs'!F$14,0)</f>
        <v>0</v>
      </c>
      <c r="JL15" s="1">
        <f>IF($D15="Livestock Grazing",$H15*'Prices_Yields&amp;SeedInputs'!F$15,0)</f>
        <v>0</v>
      </c>
      <c r="JM15" s="1">
        <f>IF($D15="SW Winter Wheat after Cereal",$H15*'Prices_Yields&amp;SeedInputs'!F$16,0)</f>
        <v>0</v>
      </c>
      <c r="JN15" s="1">
        <f>IF($D15="SW Winter Wheat after Fallow",$H15*'Prices_Yields&amp;SeedInputs'!F$17,0)</f>
        <v>0</v>
      </c>
      <c r="JO15" s="1">
        <f>IF($D15="Chem-Fallow",$H15*'Prices_Yields&amp;SeedInputs'!F$18,0)</f>
        <v>0</v>
      </c>
      <c r="JP15" s="1">
        <f>IF($D15="Flex-Fallow",$H15*'Prices_Yields&amp;SeedInputs'!F$19,0)</f>
        <v>0</v>
      </c>
      <c r="JQ15" s="1">
        <f>IF($D15="Spring Barley",$H15*'Prices_Yields&amp;SeedInputs'!F$20,0)</f>
        <v>0</v>
      </c>
      <c r="JR15" s="1">
        <f>IF($D15="Roundup Ready Spring Canola",$H15*'Prices_Yields&amp;SeedInputs'!F$21,0)</f>
        <v>0</v>
      </c>
      <c r="JS15" s="1">
        <f>IF($D15="Spring Canola",$H15*'Prices_Yields&amp;SeedInputs'!F$22,0)</f>
        <v>0</v>
      </c>
      <c r="JT15" s="1">
        <f>IF($D15="Spriing Lentils",$H15*'Prices_Yields&amp;SeedInputs'!F$23,0)</f>
        <v>0</v>
      </c>
      <c r="JU15" s="1">
        <f>IF($D15="SW Spring Wheat",$H15*'Prices_Yields&amp;SeedInputs'!F$24,0)</f>
        <v>0</v>
      </c>
      <c r="JV15" s="1">
        <f>IF($D15="HR Winter Wheat",$H15*'Prices_Yields&amp;SeedInputs'!F$26,0)</f>
        <v>0</v>
      </c>
      <c r="JW15" s="1">
        <f>IF($D15="Winter Pea",$H15*'Prices_Yields&amp;SeedInputs'!F$26,0)</f>
        <v>0</v>
      </c>
      <c r="JX15" s="1">
        <f>IF($D15="Winter Canola",$H15*'Prices_Yields&amp;SeedInputs'!F$27,0)</f>
        <v>0</v>
      </c>
      <c r="JY15" s="1">
        <f>IF($D15="Forage Crop-Soil Builder Blend",$H15*'Prices_Yields&amp;SeedInputs'!F$28,0)</f>
        <v>0</v>
      </c>
    </row>
    <row r="16" spans="1:288" ht="20" customHeight="1">
      <c r="A16" s="3"/>
      <c r="B16" s="624"/>
      <c r="C16" s="540">
        <v>3</v>
      </c>
      <c r="D16" s="541" t="s">
        <v>140</v>
      </c>
      <c r="E16" s="535">
        <v>0.1</v>
      </c>
      <c r="F16" s="536">
        <f>IF(D16="Livestock Grazing",0,E16)</f>
        <v>0.1</v>
      </c>
      <c r="G16" s="537">
        <f>IF(D16="Livestock Grazing",0,$I$2*E16)</f>
        <v>250</v>
      </c>
      <c r="H16" s="538">
        <f>$I$2*E16</f>
        <v>250</v>
      </c>
      <c r="I16" s="539">
        <f>SUM(AT16:BQ16)</f>
        <v>0.46480300313803014</v>
      </c>
      <c r="J16" s="140"/>
      <c r="M16" s="3"/>
      <c r="N16" s="206" t="s">
        <v>129</v>
      </c>
      <c r="O16" s="207">
        <v>19025.161209340673</v>
      </c>
      <c r="P16" s="207">
        <f>SUM('Farm and Rotation Setup'!BR14:CO18)</f>
        <v>1562003.3401488895</v>
      </c>
      <c r="Q16" s="208">
        <f t="shared" ref="Q16:Q23" si="1">IF(P16=0,"",((P16-O16)/O16))</f>
        <v>81.101976585722795</v>
      </c>
      <c r="R16" s="3"/>
      <c r="S16" s="3"/>
      <c r="T16" s="140"/>
      <c r="V16" s="1">
        <f>IF($D16="SW Winter Wheat after Spring Legume",$H16,0)</f>
        <v>0</v>
      </c>
      <c r="W16" s="1">
        <f>IF($D16="SW Winter Wheat after Forage Crop",$H16,0)</f>
        <v>0</v>
      </c>
      <c r="X16" s="1">
        <f>IF($D16="DN Spring Wheat after Spring Legume",$H16,0)</f>
        <v>0</v>
      </c>
      <c r="Y16" s="1">
        <f>IF($D16="DN Spring Wheat after Forage Crop",$H16,0)</f>
        <v>0</v>
      </c>
      <c r="Z16" s="1">
        <f>IF($D16="DN Spring Wheat after Winter Crop",$H16,0)</f>
        <v>0</v>
      </c>
      <c r="AA16" s="1">
        <f>IF($D16="Chickpea after Forage Crop",$H16,0)</f>
        <v>0</v>
      </c>
      <c r="AB16" s="1">
        <f>IF($D16="Chickpea after Cereal",$H16,0)</f>
        <v>0</v>
      </c>
      <c r="AC16" s="1">
        <f>IF($D16="Spring Pea after Cereal",$H16,0)</f>
        <v>0</v>
      </c>
      <c r="AD16" s="1">
        <f>IF($D16="Forage Crop-St. John Area",$H16,0)</f>
        <v>0</v>
      </c>
      <c r="AE16" s="1">
        <f>IF($D16="Forage Crop-Genesee Area",$H16,0)</f>
        <v>0</v>
      </c>
      <c r="AF16" s="1">
        <f>IF($D16="Livestock Grazing",$H16,0)</f>
        <v>0</v>
      </c>
      <c r="AG16" s="1">
        <f>IF($D16="SW Winter Wheat after Cereal",$H16,0)</f>
        <v>0</v>
      </c>
      <c r="AH16" s="1">
        <f>IF($D16="SW Winter Wheat after Fallow",$H16,0)</f>
        <v>0</v>
      </c>
      <c r="AI16" s="1">
        <f>IF($D16="Chem-Fallow",$H16,0)</f>
        <v>0</v>
      </c>
      <c r="AJ16" s="1">
        <f>IF($D16="Flex-Fallow",$H16,0)</f>
        <v>0</v>
      </c>
      <c r="AK16" s="1">
        <f>IF($D16="Spring Barley",$H16,0)</f>
        <v>0</v>
      </c>
      <c r="AL16" s="1">
        <f>IF($D16="Roundup Ready Spring Canola",$H16,0)</f>
        <v>0</v>
      </c>
      <c r="AM16" s="1">
        <f>IF($D16="Spring Canola",$H16,0)</f>
        <v>0</v>
      </c>
      <c r="AN16" s="1">
        <f>IF($D16="Spring Lentils",$H16,0)</f>
        <v>0</v>
      </c>
      <c r="AO16" s="1">
        <f>IF($D16="SW Spring Wheat",$H16,0)</f>
        <v>0</v>
      </c>
      <c r="AP16" s="1">
        <f>IF($D16="HR Winter Wheat",$H16,0)</f>
        <v>0</v>
      </c>
      <c r="AQ16" s="1">
        <f>IF($D16="Winter Pea",$H16,0)</f>
        <v>250</v>
      </c>
      <c r="AR16" s="1">
        <f>IF($D16="Winter Canola",$H16,0)</f>
        <v>0</v>
      </c>
      <c r="AS16" s="322">
        <f>IF($D16="Forage Crop-Soil Builder Blend",$H16,0)</f>
        <v>0</v>
      </c>
      <c r="AT16" s="1">
        <f>IF($D16="SW Winter Wheat after Spring Legume",SWWinterWheatAfterSpringLegume!$H$138,0)</f>
        <v>0</v>
      </c>
      <c r="AU16" s="1">
        <f>IF($D16="SW Winter Wheat after Forage Crop",SWWinterWheatAfterForageCrop!$H$138,0)</f>
        <v>0</v>
      </c>
      <c r="AV16" s="1">
        <f>IF($D16="DN Spring Wheat after Spring Legume",DNSpringWinterAfterSpringLegume!$H$138,0)</f>
        <v>0</v>
      </c>
      <c r="AW16" s="1">
        <f>IF($D16="DN Spring Wheat after Forage Crop",DNSpringWheatAfterForageCrop!$H$138,0)</f>
        <v>0</v>
      </c>
      <c r="AX16" s="1">
        <f>IF($D16="DN Spring Wheat after Winter Crop",DNSpringWheatAfterWinterCrop!$H$138,0)</f>
        <v>0</v>
      </c>
      <c r="AY16" s="1">
        <f>IF($D16="Chickpea after Forage Crop",ChickpeaAfterForageCrop!$H$138,0)</f>
        <v>0</v>
      </c>
      <c r="AZ16" s="1">
        <f>IF($D16="Chickpea after Cereal",ChickpeaAfterCereal!$H$138,0)</f>
        <v>0</v>
      </c>
      <c r="BA16" s="1">
        <f>IF($D16="Spring Pea after Cereal",SpringPeaAfterCereal!$H$138,0)</f>
        <v>0</v>
      </c>
      <c r="BB16" s="1">
        <f>IF($D16="Forage Crop-St. John Area",'ForageCrop-StJohn'!$H$138,0)</f>
        <v>0</v>
      </c>
      <c r="BC16" s="1">
        <f>IF($D16="Forage Crop-Genesee Area",'ForageCrop-Genesee'!$H$138,0)</f>
        <v>0</v>
      </c>
      <c r="BD16" s="1">
        <f>IF($D16="Livestock Grazing",LivestockGrazing!$H$138,0)</f>
        <v>0</v>
      </c>
      <c r="BE16" s="1">
        <f>IF($D16="SW Winter Wheat after Cereal",SWWinterWheatafterCereal!$H$138,0)</f>
        <v>0</v>
      </c>
      <c r="BF16" s="1">
        <f>IF($D16="SW Winter Wheat after Fallow",SWWinterWheatAfterFallow!$H$138,0)</f>
        <v>0</v>
      </c>
      <c r="BG16" s="1">
        <f>IF($D16="Chem-Fallow",'Chem-Fallow'!$H$138,0)</f>
        <v>0</v>
      </c>
      <c r="BH16" s="1">
        <f>IF($D16="Flex-Fallow",'Flex-Fallow'!$H$138,0)</f>
        <v>0</v>
      </c>
      <c r="BI16" s="1">
        <f>IF($D16="Spring Barley",SpringBarley!$H$138,0)</f>
        <v>0</v>
      </c>
      <c r="BJ16" s="1">
        <f>IF($D16="Roundup Ready Spring Canola",'SpringCanola_R-Ready'!$H$138,0)</f>
        <v>0</v>
      </c>
      <c r="BK16" s="1">
        <f>IF($D16="Spring Canola",SpringCanola!$H$138,0)</f>
        <v>0</v>
      </c>
      <c r="BL16" s="1">
        <f>IF($D16="Spring Lentils",SpringLentils!$H$138,0)</f>
        <v>0</v>
      </c>
      <c r="BM16" s="1">
        <f>IF($D16="SW Spring Wheat",SWSpringWheat!$H$138,0)</f>
        <v>0</v>
      </c>
      <c r="BN16" s="1">
        <f>IF($D16="HR Winter Wheat",HRWinterWheat!$H$138,0)</f>
        <v>0</v>
      </c>
      <c r="BO16" s="1">
        <f>IF($D16="Winter Pea",WinterPea!$H$138,0)</f>
        <v>0.46480300313803014</v>
      </c>
      <c r="BP16" s="1">
        <f>IF($D16="Winter Canola",WinterCanola!$H$138,0)</f>
        <v>0</v>
      </c>
      <c r="BQ16" s="322">
        <f>IF($D16="Forage Crop-Soil Builder Blend",ForageCrop!$H$138,0)</f>
        <v>0</v>
      </c>
      <c r="BR16" s="1">
        <f>IF($D16="SW Winter Wheat after Spring Legume",H16*SWWinterWheatAfterSpringLegume!$H$138,0)</f>
        <v>0</v>
      </c>
      <c r="BS16" s="1">
        <f>IF($D16="SW Winter Wheat after Forage Crop",H16*SWWinterWheatAfterForageCrop!$H$138,0)</f>
        <v>0</v>
      </c>
      <c r="BT16" s="1">
        <f>IF($D16="DN Spring Wheat after Spring Legume",H16*DNSpringWinterAfterSpringLegume!$H$138,0)</f>
        <v>0</v>
      </c>
      <c r="BU16" s="1">
        <f>IF($D16="DN Spring Wheat after Forage Crop",H16*DNSpringWheatAfterForageCrop!$H$138,0)</f>
        <v>0</v>
      </c>
      <c r="BV16" s="1">
        <f>IF($D16="DN Spring Wheat after Winter Crop",H16*DNSpringWheatAfterWinterCrop!$H$138,0)</f>
        <v>0</v>
      </c>
      <c r="BW16" s="1">
        <f>IF($D16="Chickpea after Forage Crop",H16*ChickpeaAfterForageCrop!$H$138,0)</f>
        <v>0</v>
      </c>
      <c r="BX16" s="1">
        <f>IF($D16="Chickpea after Cereal",H16*ChickpeaAfterCereal!$H$138,0)</f>
        <v>0</v>
      </c>
      <c r="BY16" s="1">
        <f>IF($D16="Spring Pea after Cereal",H16*SpringPeaAfterCereal!$H$138,0)</f>
        <v>0</v>
      </c>
      <c r="BZ16" s="1">
        <f>IF($D16="Forage Crop-St. John Area",H16*'ForageCrop-StJohn'!$H$138,0)</f>
        <v>0</v>
      </c>
      <c r="CA16" s="1">
        <f>IF($D16="Forage Crop-Genesee Area",H16*'ForageCrop-Genesee'!$H$138,0)</f>
        <v>0</v>
      </c>
      <c r="CB16" s="1">
        <f>IF($D16="Livestock Grazing",H16*LivestockGrazing!$H$138,0)</f>
        <v>0</v>
      </c>
      <c r="CC16" s="1">
        <f>IF($D16="SW Winter Wheat after Cereal",H16*SWWinterWheatafterCereal!$H$138,0)</f>
        <v>0</v>
      </c>
      <c r="CD16" s="1">
        <f>IF($D16="SW Winter Wheat after Fallow",H16*SWWinterWheatAfterFallow!$H$138,0)</f>
        <v>0</v>
      </c>
      <c r="CE16" s="1">
        <f>IF($D16="Chem-Fallow",H16*'Chem-Fallow'!$H$138,0)</f>
        <v>0</v>
      </c>
      <c r="CF16" s="1">
        <f>IF($D16="Flex-Fallow",H16*'Flex-Fallow'!$H$138,0)</f>
        <v>0</v>
      </c>
      <c r="CG16" s="1">
        <f>IF($D16="Spring Barley",H16*SpringBarley!$H$138,0)</f>
        <v>0</v>
      </c>
      <c r="CH16" s="1">
        <f>IF($D16="Roundup Ready Spring Canola",H16*'SpringCanola_R-Ready'!$H$138,0)</f>
        <v>0</v>
      </c>
      <c r="CI16" s="1">
        <f>IF($D16="Spring Canola",H16*SpringCanola!$H$138,0)</f>
        <v>0</v>
      </c>
      <c r="CJ16" s="1">
        <f>IF($D16="Spring Lentils",H16*SpringLentils!$H$138,0)</f>
        <v>0</v>
      </c>
      <c r="CK16" s="1">
        <f>IF($D16="SW Spring Wheat",H16*SWSpringWheat!$H$138,0)</f>
        <v>0</v>
      </c>
      <c r="CL16" s="1">
        <f>IF($D16="HR Winter Wheat",H16*HRWinterWheat!$H$138,0)</f>
        <v>0</v>
      </c>
      <c r="CM16" s="1">
        <f>IF($D16="Winter Pea",H16*WinterPea!$H$138,0)</f>
        <v>116.20075078450753</v>
      </c>
      <c r="CN16" s="1">
        <f>IF($D16="Winter Canola",H16*WinterCanola!$H$138,0)</f>
        <v>0</v>
      </c>
      <c r="CO16" s="322">
        <f>IF($D16="Forage Crop-Soil Builder Blend",H16*ForageCrop!$H$138,0)</f>
        <v>0</v>
      </c>
      <c r="CP16" s="1">
        <f>IF($D16="SW Winter Wheat after Spring Legume",H16*'Prices_Yields&amp;SeedInputs'!J$5,0)</f>
        <v>0</v>
      </c>
      <c r="CQ16" s="1">
        <f>IF($D16="SW Winter Wheat after Forage Crop",H16*'Prices_Yields&amp;SeedInputs'!J$6,0)</f>
        <v>0</v>
      </c>
      <c r="CR16" s="1">
        <f>IF($D16="DN Spring Wheat after Spring Legume",H16*'Prices_Yields&amp;SeedInputs'!J$7,0)</f>
        <v>0</v>
      </c>
      <c r="CS16" s="1">
        <f>IF($D16="DN Spring Wheat after Forage Crop",H16*'Prices_Yields&amp;SeedInputs'!J$8,0)</f>
        <v>0</v>
      </c>
      <c r="CT16" s="1">
        <f>IF($D16="DN Spring Wheat after Winter Crop",H16*'Prices_Yields&amp;SeedInputs'!J$9,0)</f>
        <v>0</v>
      </c>
      <c r="CU16" s="1">
        <f>IF($D16="Chickpea after Forage Crop",H16*'Prices_Yields&amp;SeedInputs'!J$10,0)</f>
        <v>0</v>
      </c>
      <c r="CV16" s="1">
        <f>IF($D16="Chickpea after Cereal",H16*'Prices_Yields&amp;SeedInputs'!J$11,0)</f>
        <v>0</v>
      </c>
      <c r="CW16" s="1">
        <f>IF($D16="Spring Pea after Cereal",H16*'Prices_Yields&amp;SeedInputs'!J$12,0)</f>
        <v>0</v>
      </c>
      <c r="CX16" s="1">
        <f>IF($D16="Forage Crop-St. John Area",H16*'Prices_Yields&amp;SeedInputs'!J$13,0)</f>
        <v>0</v>
      </c>
      <c r="CY16" s="1">
        <f>IF($D16="Forage Crop-Genesee Area",H16*'Prices_Yields&amp;SeedInputs'!J$14,0)</f>
        <v>0</v>
      </c>
      <c r="CZ16" s="1">
        <f>IF($D16="Livestock Grazing",H16*'Prices_Yields&amp;SeedInputs'!J$15,0)</f>
        <v>0</v>
      </c>
      <c r="DA16" s="1">
        <f>IF($D16="SW Winter Wheat after Cereal",H16*'Prices_Yields&amp;SeedInputs'!J$16,0)</f>
        <v>0</v>
      </c>
      <c r="DB16" s="1">
        <f>IF($D16="SW Winter Wheat after Fallow",H16*'Prices_Yields&amp;SeedInputs'!J$17,0)</f>
        <v>0</v>
      </c>
      <c r="DC16" s="1">
        <f>IF($D16="Chem-Fallow",H16*'Prices_Yields&amp;SeedInputs'!J$18,0)</f>
        <v>0</v>
      </c>
      <c r="DD16" s="1">
        <f>IF($D16="Flex-Fallow",H16*'Prices_Yields&amp;SeedInputs'!J$19,0)</f>
        <v>0</v>
      </c>
      <c r="DE16" s="1">
        <f>IF($D16="Spring Barley",H16*'Prices_Yields&amp;SeedInputs'!J$20,0)</f>
        <v>0</v>
      </c>
      <c r="DF16" s="1">
        <f>IF($D16="Roundup Ready Spring Canola",H16*'Prices_Yields&amp;SeedInputs'!J$21,0)</f>
        <v>0</v>
      </c>
      <c r="DG16" s="1">
        <f>IF($D16="Spring Canola",H16*'Prices_Yields&amp;SeedInputs'!J$22,0)</f>
        <v>0</v>
      </c>
      <c r="DH16" s="1">
        <f>IF($D16="Spring Lentils",H16*'Prices_Yields&amp;SeedInputs'!J$23,0)</f>
        <v>0</v>
      </c>
      <c r="DI16" s="1">
        <f>IF($D16="SW Spring Wheat",H16*'Prices_Yields&amp;SeedInputs'!J$24,0)</f>
        <v>0</v>
      </c>
      <c r="DJ16" s="1">
        <f>IF($D16="HR Winter Wheat",H16*'Prices_Yields&amp;SeedInputs'!J$25,0)</f>
        <v>0</v>
      </c>
      <c r="DK16" s="1">
        <f>IF($D16="Winter Pea",H16*'Prices_Yields&amp;SeedInputs'!J$26,0)</f>
        <v>50000</v>
      </c>
      <c r="DL16" s="1">
        <f>IF($D16="Winter Canola",H16*'Prices_Yields&amp;SeedInputs'!J$27,0)</f>
        <v>0</v>
      </c>
      <c r="DM16" s="322">
        <f>IF($D16="Forage Crop-Soil Builder Blend",H16*'Prices_Yields&amp;SeedInputs'!J$28,0)</f>
        <v>0</v>
      </c>
      <c r="DN16" s="1">
        <f>IF($D16="SW Winter Wheat after Spring Legume",$H16*SWWinterWheatAfterSpringLegume!$H$135,0)</f>
        <v>0</v>
      </c>
      <c r="DO16" s="1">
        <f>IF($D16="SW Winter Wheat after Forage Crop",$H16*SWWinterWheatAfterForageCrop!$H$135,0)</f>
        <v>0</v>
      </c>
      <c r="DP16" s="1">
        <f>IF($D16="DN Spring Wheat after Spring Legume",$H16*DNSpringWinterAfterSpringLegume!$H$135,0)</f>
        <v>0</v>
      </c>
      <c r="DQ16" s="1">
        <f>IF($D16="DN Spring Wheat after Forage Crop",$H16*DNSpringWheatAfterForageCrop!$H$135,0)</f>
        <v>0</v>
      </c>
      <c r="DR16" s="1">
        <f>IF($D16="DN Spring Wheat after Winter Crop",$H16*DNSpringWheatAfterWinterCrop!$H$135,0)</f>
        <v>0</v>
      </c>
      <c r="DS16" s="1">
        <f>IF($D16="Chickpea after Forage Crop",$H16*ChickpeaAfterForageCrop!$H$135,0)</f>
        <v>0</v>
      </c>
      <c r="DT16" s="1">
        <f>IF($D16="Chickpea after Cereal",$H16*ChickpeaAfterCereal!$H$135,0)</f>
        <v>0</v>
      </c>
      <c r="DU16" s="1">
        <f>IF($D16="Spring Pea after Cereal",$H16*SpringPeaAfterCereal!$H$135,0)</f>
        <v>0</v>
      </c>
      <c r="DV16" s="1">
        <f>IF($D16="Forage Crop-St. John Area",$H16*'ForageCrop-StJohn'!$H$135,0)</f>
        <v>0</v>
      </c>
      <c r="DW16" s="1">
        <f>IF($D16="Forage Crop-Genesee Area",$H16*'ForageCrop-Genesee'!$H$135,0)</f>
        <v>0</v>
      </c>
      <c r="DX16" s="1">
        <f>IF($D16="Livestock Grazing",$H16*LivestockGrazing!$H$135,0)</f>
        <v>0</v>
      </c>
      <c r="DY16" s="1">
        <f>IF($D16="SW Winter Wheat after Cereal",$H16*SWWinterWheatafterCereal!$H$135,0)</f>
        <v>0</v>
      </c>
      <c r="DZ16" s="1">
        <f>IF($D16="SW Winter Wheat after Fallow",$H16*SWWinterWheatAfterFallow!$H$135,0)</f>
        <v>0</v>
      </c>
      <c r="EA16" s="1">
        <f>IF($D16="Chem-Fallow",$H16*'Chem-Fallow'!$H$135,0)</f>
        <v>0</v>
      </c>
      <c r="EB16" s="1">
        <f>IF($D16="Flex-Fallow",$H16*'Flex-Fallow'!$H$135,0)</f>
        <v>0</v>
      </c>
      <c r="EC16" s="1">
        <f>IF($D16="Spring Barley",$H16*SpringBarley!$H$135,0)</f>
        <v>0</v>
      </c>
      <c r="ED16" s="1">
        <f>IF($D16="Roundup Ready Spring Canola",$H16*'SpringCanola_R-Ready'!$H$135,0)</f>
        <v>0</v>
      </c>
      <c r="EE16" s="1">
        <f>IF($D16="Spring Canola",$H16*SpringCanola!$H$135,0)</f>
        <v>0</v>
      </c>
      <c r="EF16" s="1">
        <f>IF($D16="Spring Lentils",$H16*SpringLentils!$H$135,0)</f>
        <v>0</v>
      </c>
      <c r="EG16" s="1">
        <f>IF($D16="SW Spring Wheat",$H16*SWSpringWheat!$H$135,0)</f>
        <v>0</v>
      </c>
      <c r="EH16" s="1">
        <f>IF($D16="HR Winter Wheat",$H16*HRWinterWheat!$H$135,0)</f>
        <v>0</v>
      </c>
      <c r="EI16" s="1">
        <f>IF($D16="Winter Pea",$H16*WinterPea!$H$135,0)</f>
        <v>5807.9334364617825</v>
      </c>
      <c r="EJ16" s="1">
        <f>IF($D16="Winter Canola",$H16*WinterCanola!$H$135,0)</f>
        <v>0</v>
      </c>
      <c r="EK16" s="322">
        <f>IF($D16="Forage Crop-Soil Builder Blend",$H16*ForageCrop!$H$135,0)</f>
        <v>0</v>
      </c>
      <c r="EL16" s="1">
        <f>IF($D16="SW Winter Wheat after Spring Legume",$H16*SWWinterWheatAfterSpringLegume!$J$116,0)</f>
        <v>0</v>
      </c>
      <c r="EM16" s="1">
        <f>IF($D16="SW Winter Wheat after Forage Crop",$H16*SWWinterWheatAfterForageCrop!$J$116,0)</f>
        <v>0</v>
      </c>
      <c r="EN16" s="1">
        <f>IF($D16="DN Spring Wheat after Spring Legume",$H16*DNSpringWinterAfterSpringLegume!$J$116,0)</f>
        <v>0</v>
      </c>
      <c r="EO16" s="1">
        <f>IF($D16="DN Spring Wheat after Forage Crop",$H16*DNSpringWheatAfterForageCrop!$J$116,0)</f>
        <v>0</v>
      </c>
      <c r="EP16" s="1">
        <f>IF($D16="DN Spring Wheat after Winter Crop",$H16*DNSpringWheatAfterWinterCrop!$J$116,0)</f>
        <v>0</v>
      </c>
      <c r="EQ16" s="1">
        <f>IF($D16="Chickpea after Forage Crop",$H16*ChickpeaAfterForageCrop!$J$116,0)</f>
        <v>0</v>
      </c>
      <c r="ER16" s="1">
        <f>IF($D16="Chickpea after Cereal",$H16*ChickpeaAfterCereal!$J$116,0)</f>
        <v>0</v>
      </c>
      <c r="ES16" s="1">
        <f>IF($D16="Spring Pea after Cereal",$H16*SpringPeaAfterCereal!$J$116,0)</f>
        <v>0</v>
      </c>
      <c r="ET16" s="1">
        <f>IF($D16="Forage Crop-St. John Area",$H16*'ForageCrop-StJohn'!$J$116,0)</f>
        <v>0</v>
      </c>
      <c r="EU16" s="1">
        <f>IF($D16="Forage Crop-Genesee Area",$H16*'ForageCrop-Genesee'!$J$116,0)</f>
        <v>0</v>
      </c>
      <c r="EV16" s="1">
        <f>IF($D16="Livestock Grazing",$H16*LivestockGrazing!$J$116,0)</f>
        <v>0</v>
      </c>
      <c r="EW16" s="1">
        <f>IF($D16="SW Winter Wheat after Cereal",$H16*SWWinterWheatafterCereal!$J$116,0)</f>
        <v>0</v>
      </c>
      <c r="EX16" s="1">
        <f>IF($D16="SW Winter Wheat after Fallow",$H16*SWWinterWheatAfterFallow!$J$116,0)</f>
        <v>0</v>
      </c>
      <c r="EY16" s="1">
        <f>IF($D16="Chem-Fallow",$H16*'Chem-Fallow'!$J$116,0)</f>
        <v>0</v>
      </c>
      <c r="EZ16" s="1">
        <f>IF($D16="Flex-Fallow",$H16*'Flex-Fallow'!$J$116,0)</f>
        <v>0</v>
      </c>
      <c r="FA16" s="1">
        <f>IF($D16="Spring Barley",$H16*SpringBarley!$J$116,0)</f>
        <v>0</v>
      </c>
      <c r="FB16" s="1">
        <f>IF($D16="Roundup Ready Spring Canola",$H16*'SpringCanola_R-Ready'!$J$116,0)</f>
        <v>0</v>
      </c>
      <c r="FC16" s="1">
        <f>IF($D16="Spring Canola",$H16*SpringCanola!$J$116,0)</f>
        <v>0</v>
      </c>
      <c r="FD16" s="1">
        <f>IF($D16="Spring Lentils",$H16*SpringLentils!$J$116,0)</f>
        <v>0</v>
      </c>
      <c r="FE16" s="1">
        <f>IF($D16="SW Spring Wheat",$H16*SWSpringWheat!$J$116,0)</f>
        <v>0</v>
      </c>
      <c r="FF16" s="1">
        <f>IF($D16="HR Winter Wheat",$H16*HRWinterWheat!$J$116,0)</f>
        <v>0</v>
      </c>
      <c r="FG16" s="1">
        <f>IF($D16="Winter Pea",$H16*WinterPea!$J$116,0)</f>
        <v>3914.7796000522189</v>
      </c>
      <c r="FH16" s="1">
        <f>IF($D16="Winter Canola",$H16*WinterCanola!$J$116,0)</f>
        <v>0</v>
      </c>
      <c r="FI16" s="322">
        <f>IF($D16="Forage Crop-Soil Builder Blend",$H16*ForageCrop!$J$116,0)</f>
        <v>0</v>
      </c>
      <c r="FJ16" s="1">
        <f>IF($D16="SW Winter Wheat after Spring Legume",$H16*SWWinterWheatAfterSpringLegume!$J$117,0)</f>
        <v>0</v>
      </c>
      <c r="FK16" s="1">
        <f>IF($D16="SW Winter Wheat after Forage Crop",$H16*SWWinterWheatAfterForageCrop!$J$117,0)</f>
        <v>0</v>
      </c>
      <c r="FL16" s="1">
        <f>IF($D16="DN Spring Wheat after Spring Legume",$H16*DNSpringWinterAfterSpringLegume!$J$117,0)</f>
        <v>0</v>
      </c>
      <c r="FM16" s="1">
        <f>IF($D16="DN Spring Wheat after Forage Crop",$H16*DNSpringWheatAfterForageCrop!$J$117,0)</f>
        <v>0</v>
      </c>
      <c r="FN16" s="1">
        <f>IF($D16="DN Spring Wheat after Winter Crop",$H16*DNSpringWheatAfterWinterCrop!$J$117,0)</f>
        <v>0</v>
      </c>
      <c r="FO16" s="1">
        <f>IF($D16="Chickpea after Forage Crop",$H16*ChickpeaAfterForageCrop!$J$117,0)</f>
        <v>0</v>
      </c>
      <c r="FP16" s="1">
        <f>IF($D16="Chickpea after Cereal",$H16*ChickpeaAfterCereal!$J$117,0)</f>
        <v>0</v>
      </c>
      <c r="FQ16" s="1">
        <f>IF($D16="Spring Pea after Cereal",$H16*SpringPeaAfterCereal!$J$117,0)</f>
        <v>0</v>
      </c>
      <c r="FR16" s="1">
        <f>IF($D16="Forage Crop-St. John Area",$H16*'ForageCrop-StJohn'!$J$117,0)</f>
        <v>0</v>
      </c>
      <c r="FS16" s="1">
        <f>IF($D16="Forage Crop-Genesee Area",$H16*'ForageCrop-Genesee'!$J$117,0)</f>
        <v>0</v>
      </c>
      <c r="FT16" s="1">
        <f>IF($D16="Livestock Grazing",$H16*LivestockGrazing!$J$117,0)</f>
        <v>0</v>
      </c>
      <c r="FU16" s="1">
        <f>IF($D16="SW Winter Wheat after Cereal",$H16*SWWinterWheatafterCereal!$J$117,0)</f>
        <v>0</v>
      </c>
      <c r="FV16" s="1">
        <f>IF($D16="SW Winter Wheat after Fallow",$H16*SWWinterWheatAfterFallow!$J$117,0)</f>
        <v>0</v>
      </c>
      <c r="FW16" s="1">
        <f>IF($D16="Chem-Fallow",$H16*'Chem-Fallow'!$J$117,0)</f>
        <v>0</v>
      </c>
      <c r="FX16" s="1">
        <f>IF($D16="Flex-Fallow",$H16*'Flex-Fallow'!$J$117,0)</f>
        <v>0</v>
      </c>
      <c r="FY16" s="1">
        <f>IF($D16="Spring Barley",$H16*SpringBarley!$J$117,0)</f>
        <v>0</v>
      </c>
      <c r="FZ16" s="1">
        <f>IF($D16="Roundup Ready Spring Canola",$H16*'SpringCanola_R-Ready'!$J$117,0)</f>
        <v>0</v>
      </c>
      <c r="GA16" s="1">
        <f>IF($D16="Spring Canola",$H16*SpringCanola!$J$117,0)</f>
        <v>0</v>
      </c>
      <c r="GB16" s="1">
        <f>IF($D16="Spring Lentils",$H16*SpringLentils!$J$117,0)</f>
        <v>0</v>
      </c>
      <c r="GC16" s="1">
        <f>IF($D16="SW Spring Wheat",$H16*SWSpringWheat!$J$117,0)</f>
        <v>0</v>
      </c>
      <c r="GD16" s="1">
        <f>IF($D16="HR Winter Wheat",$H16*HRWinterWheat!$J$117,0)</f>
        <v>0</v>
      </c>
      <c r="GE16" s="1">
        <f>IF($D16="Winter Pea",$H16*WinterPea!$J$117,0)</f>
        <v>9029.1556319013489</v>
      </c>
      <c r="GF16" s="1">
        <f>IF($D16="Winter Canola",$H16*WinterCanola!$J$117,0)</f>
        <v>0</v>
      </c>
      <c r="GG16" s="322">
        <f>IF($D16="Forage Crop-Soil Builder Blend",$H16*ForageCrop!$J$117,0)</f>
        <v>0</v>
      </c>
      <c r="GH16" s="1">
        <f>IF($D16="SW Winter Wheat after Spring Legume",$H16*SWWinterWheatAfterSpringLegume!$L$118,0)</f>
        <v>0</v>
      </c>
      <c r="GI16" s="1">
        <f>IF($D16="SW Winter Wheat after Forage Crop",$H16*SWWinterWheatAfterForageCrop!$L$118,0)</f>
        <v>0</v>
      </c>
      <c r="GJ16" s="1">
        <f>IF($D16="DN Spring Wheat after Spring Legume",$H16*DNSpringWinterAfterSpringLegume!$L$118,0)</f>
        <v>0</v>
      </c>
      <c r="GK16" s="1">
        <f>IF($D16="DN Spring Wheat after Forage Crop",$H16*DNSpringWheatAfterForageCrop!$L$118,0)</f>
        <v>0</v>
      </c>
      <c r="GL16" s="1">
        <f>IF($D16="DN Spring Wheat after Winter Crop",$H16*DNSpringWheatAfterWinterCrop!$L$118,0)</f>
        <v>0</v>
      </c>
      <c r="GM16" s="1">
        <f>IF($D16="Chickpea after Forage Crop",$H16*ChickpeaAfterForageCrop!$L$118,0)</f>
        <v>0</v>
      </c>
      <c r="GN16" s="1">
        <f>IF($D16="Chickpea after Cereal",$H16*ChickpeaAfterCereal!$L$118,0)</f>
        <v>0</v>
      </c>
      <c r="GO16" s="1">
        <f>IF($D16="Spring Pea after Cereal",$H16*SpringPeaAfterCereal!$L$118,0)</f>
        <v>0</v>
      </c>
      <c r="GP16" s="1">
        <f>IF($D16="Forage Crop-St. John Area",$H16*'ForageCrop-StJohn'!$L$118,0)</f>
        <v>0</v>
      </c>
      <c r="GQ16" s="1">
        <f>IF($D16="Forage Crop-Genesee Area",$H16*'ForageCrop-Genesee'!$L$118,0)</f>
        <v>0</v>
      </c>
      <c r="GR16" s="1">
        <f>IF($D16="Livestock Grazing",$H16*LivestockGrazing!$L$118,0)</f>
        <v>0</v>
      </c>
      <c r="GS16" s="1">
        <f>IF($D16="SW Winter Wheat after Cereal",$H16*SWWinterWheatafterCereal!$L$118,0)</f>
        <v>0</v>
      </c>
      <c r="GT16" s="1">
        <f>IF($D16="SW Winter Wheat after Fallow",$H16*SWWinterWheatAfterFallow!$L$118,0)</f>
        <v>0</v>
      </c>
      <c r="GU16" s="1">
        <f>IF($D16="Chem-Fallow",$H16*'Chem-Fallow'!$L$118,0)</f>
        <v>0</v>
      </c>
      <c r="GV16" s="1">
        <f>IF($D16="Flex-Fallow",$H16*'Flex-Fallow'!$L$118,0)</f>
        <v>0</v>
      </c>
      <c r="GW16" s="1">
        <f>IF($D16="Spring Barley",$H16*SpringBarley!$L$118,0)</f>
        <v>0</v>
      </c>
      <c r="GX16" s="1">
        <f>IF($D16="Roundup Ready Spring Canola",$H16*'SpringCanola_R-Ready'!$L$118,0)</f>
        <v>0</v>
      </c>
      <c r="GY16" s="1">
        <f>IF($D16="Spring Canola",$H16*SpringCanola!$L$118,0)</f>
        <v>0</v>
      </c>
      <c r="GZ16" s="1">
        <f>IF($D16="Spring Lentils",$H16*SpringLentils!$L$118,0)</f>
        <v>0</v>
      </c>
      <c r="HA16" s="1">
        <f>IF($D16="SW Spring Wheat",$H16*SWSpringWheat!$L$118,0)</f>
        <v>0</v>
      </c>
      <c r="HB16" s="1">
        <f>IF($D16="HR Winter Wheat",$H16*HRWinterWheat!$L$118,0)</f>
        <v>0</v>
      </c>
      <c r="HC16" s="1">
        <f>IF($D16="Winter Pea",$H16*WinterPea!$L$118,0)</f>
        <v>4331.0465761047444</v>
      </c>
      <c r="HD16" s="1">
        <f>IF($D16="Winter Canola",$H16*WinterCanola!$L$118,0)</f>
        <v>0</v>
      </c>
      <c r="HE16" s="322">
        <f>IF($D16="Forage Crop-Soil Builder Blend",$H16*ForageCrop!$L$118,0)</f>
        <v>0</v>
      </c>
      <c r="HF16" s="1">
        <f>IF($D16="SW Winter Wheat after Spring Legume",($H16*(SUM(SWWinterWheatAfterSpringLegume!$E$9:$E$16)+SWWinterWheatAfterSpringLegume!$G$16))/2000,0)</f>
        <v>0</v>
      </c>
      <c r="HG16" s="1">
        <f>IF($D16="SW Winter Wheat after Forage Crop",($H16*(SUM(SWWinterWheatAfterForageCrop!$E$9:$E$16)+SWWinterWheatAfterForageCrop!$G$17))/2000,0)</f>
        <v>0</v>
      </c>
      <c r="HH16" s="1">
        <f>IF($D16="DN Spring Wheat after Spring Legume",($H16*(SUM(DNSpringWinterAfterSpringLegume!$E$9:$E$16)+DNSpringWinterAfterSpringLegume!$G$16))/2000,0)</f>
        <v>0</v>
      </c>
      <c r="HI16" s="1">
        <f>IF($D16="DN Spring Wheat after Forage Crop",($H16*(SUM(DNSpringWheatAfterForageCrop!$E$9:$E$16)+DNSpringWheatAfterForageCrop!$G$14))/2000,0)</f>
        <v>0</v>
      </c>
      <c r="HJ16" s="1">
        <f>IF($D16="DN Spring Wheat after Winter Crop",($H16*(SUM(DNSpringWheatAfterWinterCrop!$E$9:$E$16)+DNSpringWheatAfterWinterCrop!$G$16))/2000,0)</f>
        <v>0</v>
      </c>
      <c r="HK16" s="1">
        <f>IF($D16="Chickpea after Forage Crop",($H16*(SUM(ChickpeaAfterForageCrop!$E$9:$E$16)+ChickpeaAfterForageCrop!$G$14))/2000,0)</f>
        <v>0</v>
      </c>
      <c r="HL16" s="1">
        <f>IF($D16="Chickpea after Cereal",($H16*(SUM(ChickpeaAfterCereal!$E$9:$E$16)+ChickpeaAfterCereal!$G$14))/2000,0)</f>
        <v>0</v>
      </c>
      <c r="HM16" s="1">
        <f>IF($D16="Spring Pea after Cereal",($H16*(SUM(SpringPeaAfterCereal!$E$9:$E$16)+SpringPeaAfterCereal!$G$14))/2000,0)</f>
        <v>0</v>
      </c>
      <c r="HN16" s="1">
        <f>IF($D16="Forage Crop-St. John Area",($H16*(SUM('ForageCrop-StJohn'!$E$9:$E$16)+'ForageCrop-StJohn'!$G$14))/2000,0)</f>
        <v>0</v>
      </c>
      <c r="HO16" s="1">
        <f>IF($D16="Forage Crop-Genesee Area",($H16*(SUM('ForageCrop-Genesee'!$E$9:$E$16)+'ForageCrop-Genesee'!$G$14))/2000,0)</f>
        <v>0</v>
      </c>
      <c r="HP16" s="1">
        <f>IF($D16="Livestock Grazing",($H16*(SUM(LivestockGrazing!$E$9:$E$16)+LivestockGrazing!$G$14))/2000,0)</f>
        <v>0</v>
      </c>
      <c r="HQ16" s="1">
        <f>IF($D16="SW Winter Wheat after Cereal",($H16*(SUM(SWWinterWheatafterCereal!$E$9:$E$16)+SWWinterWheatafterCereal!$G$16))/2000,0)</f>
        <v>0</v>
      </c>
      <c r="HR16" s="1">
        <f>IF($D16="SW Winter Wheat after Fallow",($H16*(SUM(SWWinterWheatAfterFallow!$E$9:$E$16)+SWWinterWheatAfterFallow!$G$14))/2000,0)</f>
        <v>0</v>
      </c>
      <c r="HS16" s="1">
        <f>IF($D16="Chem-Fallow",($H16*(SUM('Chem-Fallow'!$E$9:$E$16)+'Chem-Fallow'!$G$16))/2000,0)</f>
        <v>0</v>
      </c>
      <c r="HT16" s="1">
        <f>IF($D16="Flex-Fallow",($H16*(SUM('Flex-Fallow'!$E$9:$E$16)+'Flex-Fallow'!$G$16))/2000,0)</f>
        <v>0</v>
      </c>
      <c r="HU16" s="1">
        <f>IF($D16="Spring Barley",($H16*(SUM(SpringBarley!$E$9:$E$16)+SpringBarley!$G$16))/2000,0)</f>
        <v>0</v>
      </c>
      <c r="HV16" s="1">
        <f>IF($D16="Roundup Ready Spring Canola",($H16*(SUM('SpringCanola_R-Ready'!$E$9:$E$16)+'SpringCanola_R-Ready'!$G$14))/2000,0)</f>
        <v>0</v>
      </c>
      <c r="HW16" s="1">
        <f>IF($D16="Spring Canola",($H16*(SUM(SpringCanola!$E$9:$E$16)+SpringCanola!$G$14))/2000,0)</f>
        <v>0</v>
      </c>
      <c r="HX16" s="1">
        <f>IF($D16="Spriing Lentils",($H16*(SUM(SpringLentils!$E$9:$E$16)+SpringLentils!$G$14))/2000,0)</f>
        <v>0</v>
      </c>
      <c r="HY16" s="1">
        <f>IF($D16="SW Spring Wheat",($H16*(SUM(SWSpringWheat!$E$9:$E$16)+SWSpringWheat!$G$18))/2000,0)</f>
        <v>0</v>
      </c>
      <c r="HZ16" s="1">
        <f>IF($D16="HR Winter Wheat",($H16*(SUM(HRWinterWheat!$E$9:$E$16)+HRWinterWheat!$G$16))/2000,0)</f>
        <v>0</v>
      </c>
      <c r="IA16" s="1">
        <f>IF($D16="Winter Pea",($H16*(SUM(WinterPea!$E$9:$E$16)+WinterPea!$G$14))/2000,0)</f>
        <v>0.21416015624999998</v>
      </c>
      <c r="IB16" s="1">
        <f>IF($D16="Winter Canola",($H16*(SUM(WinterCanola!$E$9:$E$16)+WinterCanola!$G$14))/2000,0)</f>
        <v>0</v>
      </c>
      <c r="IC16" s="322">
        <f>IF($D16="Forage Crop-Soil Builder Blend",($H16*(SUM(ForageCrop!$E$9:$E$16)+ForageCrop!$G$14))/2000,0)</f>
        <v>0</v>
      </c>
      <c r="ID16" s="1">
        <f>IF($D16="SW Winter Wheat after Spring Legume",$H16*SWWinterWheatAfterSpringLegume!$G$62,0)</f>
        <v>0</v>
      </c>
      <c r="IE16" s="1">
        <f>IF($D16="SW Winter Wheat after Forage Crop",$H16*SWWinterWheatAfterForageCrop!$G$62,0)</f>
        <v>0</v>
      </c>
      <c r="IF16" s="1">
        <f>IF($D16="DN Spring Wheat after Spring Legume",$H16*DNSpringWinterAfterSpringLegume!$G$62,0)</f>
        <v>0</v>
      </c>
      <c r="IG16" s="1">
        <f>IF($D16="DN Spring Wheat after Forage Crop",$H16*DNSpringWheatAfterForageCrop!$G$62,0)</f>
        <v>0</v>
      </c>
      <c r="IH16" s="1">
        <f>IF($D16="DN Spring Wheat after Winter Crop",$H16*DNSpringWheatAfterWinterCrop!$G$62,0)</f>
        <v>0</v>
      </c>
      <c r="II16" s="1">
        <f>IF($D16="Chickpea after Forage Crop",$H16*ChickpeaAfterForageCrop!$G$62,0)</f>
        <v>0</v>
      </c>
      <c r="IJ16" s="1">
        <f>IF($D16="Chickpea after Cereal",$H16*ChickpeaAfterCereal!$G$62,0)</f>
        <v>0</v>
      </c>
      <c r="IK16" s="1">
        <f>IF($D16="Spring Pea after Cereal",$H16*SpringPeaAfterCereal!$G$62,0)</f>
        <v>0</v>
      </c>
      <c r="IL16" s="1">
        <f>IF($D16="Forage Crop-St. John Area",$H16*'ForageCrop-StJohn'!$G$62,0)</f>
        <v>0</v>
      </c>
      <c r="IM16" s="1">
        <f>IF($D16="Forage Crop-Genesee Area",$H16*'ForageCrop-Genesee'!$G$62,0)</f>
        <v>0</v>
      </c>
      <c r="IN16" s="1">
        <f>IF($D16="Livestock Grazing",$H16*LivestockGrazing!$G$62,0)</f>
        <v>0</v>
      </c>
      <c r="IO16" s="1">
        <f>IF($D16="SW Winter Wheat after Cereal",$H16*SWWinterWheatafterCereal!$G$62,0)</f>
        <v>0</v>
      </c>
      <c r="IP16" s="1">
        <f>IF($D16="SW Winter Wheat after Fallow",$H16*SWWinterWheatAfterFallow!$G$62,0)</f>
        <v>0</v>
      </c>
      <c r="IQ16" s="1">
        <f>IF($D16="Chem-Fallow",$H16*'Chem-Fallow'!$G$62,0)</f>
        <v>0</v>
      </c>
      <c r="IR16" s="1">
        <f>IF($D16="Flex-Fallow",$H16*'Flex-Fallow'!$G$62,0)</f>
        <v>0</v>
      </c>
      <c r="IS16" s="1">
        <f>IF($D16="Spring Barley",$H16*SpringBarley!$G$62,0)</f>
        <v>0</v>
      </c>
      <c r="IT16" s="1">
        <f>IF($D16="Roundup Ready Spring Canola",$H16*'SpringCanola_R-Ready'!$G$62,0)</f>
        <v>0</v>
      </c>
      <c r="IU16" s="1">
        <f>IF($D16="Spring Canola",$H16*SpringCanola!$G$62,0)</f>
        <v>0</v>
      </c>
      <c r="IV16" s="1">
        <f>IF($D16="Spriing Lentils",$H16*SpringLentils!$G$62,0)</f>
        <v>0</v>
      </c>
      <c r="IW16" s="1">
        <f>IF($D16="SW Spring Wheat",$H16*SWSpringWheat!$G$62,0)</f>
        <v>0</v>
      </c>
      <c r="IX16" s="1">
        <f>IF($D16="HR Winter Wheat",$H16*HRWinterWheat!$G$62,0)</f>
        <v>0</v>
      </c>
      <c r="IY16" s="1">
        <f>IF($D16="Winter Pea",$H16*WinterPea!$G$62,0)</f>
        <v>94.140625</v>
      </c>
      <c r="IZ16" s="1">
        <f>IF($D16="Winter Canola",$H16*+WinterCanola!$G$62,0)</f>
        <v>0</v>
      </c>
      <c r="JA16" s="1">
        <f>IF($D16="Forage Crop-Soil Builder Blend",$H16*ForageCrop!$G$62,0)</f>
        <v>0</v>
      </c>
      <c r="JB16" s="1">
        <f>IF($D16="SW Winter Wheat after Spring Legume",$H16*'Prices_Yields&amp;SeedInputs'!F5,0)</f>
        <v>0</v>
      </c>
      <c r="JC16" s="1">
        <f>IF($D16="SW Winter Wheat after Forage Crop",$H16*'Prices_Yields&amp;SeedInputs'!F6,0)</f>
        <v>0</v>
      </c>
      <c r="JD16" s="1">
        <f>IF($D16="DN Spring Wheat after Spring Legume",$H16*'Prices_Yields&amp;SeedInputs'!F$7,0)</f>
        <v>0</v>
      </c>
      <c r="JE16" s="1">
        <f>IF($D16="DN Spring Wheat after Forage Crop",$H16*'Prices_Yields&amp;SeedInputs'!F$8,0)</f>
        <v>0</v>
      </c>
      <c r="JF16" s="1">
        <f>IF($D16="DN Spring Wheat after Winter Crop",$H16*'Prices_Yields&amp;SeedInputs'!F$9,0)</f>
        <v>0</v>
      </c>
      <c r="JG16" s="1">
        <f>IF($D16="Chickpea after Forage Crop",$H16*'Prices_Yields&amp;SeedInputs'!F$10,0)</f>
        <v>0</v>
      </c>
      <c r="JH16" s="1">
        <f>IF($D16="Chickpea after Cereal",$H16*'Prices_Yields&amp;SeedInputs'!F$11,0)</f>
        <v>0</v>
      </c>
      <c r="JI16" s="1">
        <f>IF($D16="Spring Pea after Cereal",$H16*'Prices_Yields&amp;SeedInputs'!F$12,0)</f>
        <v>0</v>
      </c>
      <c r="JJ16" s="1">
        <f>IF($D16="Forage Crop-St. John Area",$H16*'Prices_Yields&amp;SeedInputs'!F$13,0)</f>
        <v>0</v>
      </c>
      <c r="JK16" s="1">
        <f>IF($D16="Forage Crop-Genesee Area",$H16*'Prices_Yields&amp;SeedInputs'!F$14,0)</f>
        <v>0</v>
      </c>
      <c r="JL16" s="1">
        <f>IF($D16="Livestock Grazing",$H16*'Prices_Yields&amp;SeedInputs'!F$15,0)</f>
        <v>0</v>
      </c>
      <c r="JM16" s="1">
        <f>IF($D16="SW Winter Wheat after Cereal",$H16*'Prices_Yields&amp;SeedInputs'!F$16,0)</f>
        <v>0</v>
      </c>
      <c r="JN16" s="1">
        <f>IF($D16="SW Winter Wheat after Fallow",$H16*'Prices_Yields&amp;SeedInputs'!F$17,0)</f>
        <v>0</v>
      </c>
      <c r="JO16" s="1">
        <f>IF($D16="Chem-Fallow",$H16*'Prices_Yields&amp;SeedInputs'!F$18,0)</f>
        <v>0</v>
      </c>
      <c r="JP16" s="1">
        <f>IF($D16="Flex-Fallow",$H16*'Prices_Yields&amp;SeedInputs'!F$19,0)</f>
        <v>0</v>
      </c>
      <c r="JQ16" s="1">
        <f>IF($D16="Spring Barley",$H16*'Prices_Yields&amp;SeedInputs'!F$20,0)</f>
        <v>0</v>
      </c>
      <c r="JR16" s="1">
        <f>IF($D16="Roundup Ready Spring Canola",$H16*'Prices_Yields&amp;SeedInputs'!F$21,0)</f>
        <v>0</v>
      </c>
      <c r="JS16" s="1">
        <f>IF($D16="Spring Canola",$H16*'Prices_Yields&amp;SeedInputs'!F$22,0)</f>
        <v>0</v>
      </c>
      <c r="JT16" s="1">
        <f>IF($D16="Spriing Lentils",$H16*'Prices_Yields&amp;SeedInputs'!F$23,0)</f>
        <v>0</v>
      </c>
      <c r="JU16" s="1">
        <f>IF($D16="SW Spring Wheat",$H16*'Prices_Yields&amp;SeedInputs'!F$24,0)</f>
        <v>0</v>
      </c>
      <c r="JV16" s="1">
        <f>IF($D16="HR Winter Wheat",$H16*'Prices_Yields&amp;SeedInputs'!F$26,0)</f>
        <v>0</v>
      </c>
      <c r="JW16" s="1">
        <f>IF($D16="Winter Pea",$H16*'Prices_Yields&amp;SeedInputs'!F$26,0)</f>
        <v>500000</v>
      </c>
      <c r="JX16" s="1">
        <f>IF($D16="Winter Canola",$H16*'Prices_Yields&amp;SeedInputs'!F$27,0)</f>
        <v>0</v>
      </c>
      <c r="JY16" s="1">
        <f>IF($D16="Forage Crop-Soil Builder Blend",$H16*'Prices_Yields&amp;SeedInputs'!F$28,0)</f>
        <v>0</v>
      </c>
    </row>
    <row r="17" spans="1:285" ht="20" customHeight="1">
      <c r="A17" s="3"/>
      <c r="B17" s="624"/>
      <c r="C17" s="540">
        <v>4</v>
      </c>
      <c r="D17" s="541"/>
      <c r="E17" s="535">
        <v>0</v>
      </c>
      <c r="F17" s="536">
        <f>IF(D17="Livestock Grazing",0,E17)</f>
        <v>0</v>
      </c>
      <c r="G17" s="537">
        <f>IF(D17="Livestock Grazing",0,$I$2*E17)</f>
        <v>0</v>
      </c>
      <c r="H17" s="538">
        <f>$I$2*E17</f>
        <v>0</v>
      </c>
      <c r="I17" s="539">
        <f>SUM(AT17:BQ17)</f>
        <v>0</v>
      </c>
      <c r="J17" s="140"/>
      <c r="M17" s="140"/>
      <c r="N17" s="198" t="s">
        <v>128</v>
      </c>
      <c r="O17" s="199">
        <v>112500</v>
      </c>
      <c r="P17" s="199">
        <f>SUM('Farm and Rotation Setup'!CP14:DM18)</f>
        <v>263750</v>
      </c>
      <c r="Q17" s="197">
        <f t="shared" si="1"/>
        <v>1.3444444444444446</v>
      </c>
      <c r="R17" s="140"/>
      <c r="S17" s="140"/>
      <c r="T17" s="140"/>
      <c r="V17" s="1">
        <f>IF($D17="SW Winter Wheat after Spring Legume",$H17,0)</f>
        <v>0</v>
      </c>
      <c r="W17" s="1">
        <f>IF($D17="SW Winter Wheat after Forage Crop",$H17,0)</f>
        <v>0</v>
      </c>
      <c r="X17" s="1">
        <f>IF($D17="DN Spring Wheat after Spring Legume",$H17,0)</f>
        <v>0</v>
      </c>
      <c r="Y17" s="1">
        <f>IF($D17="DN Spring Wheat after Forage Crop",$H17,0)</f>
        <v>0</v>
      </c>
      <c r="Z17" s="1">
        <f>IF($D17="DN Spring Wheat after Winter Crop",$H17,0)</f>
        <v>0</v>
      </c>
      <c r="AA17" s="1">
        <f>IF($D17="Chickpea after Forage Crop",$H17,0)</f>
        <v>0</v>
      </c>
      <c r="AB17" s="1">
        <f>IF($D17="Chickpea after Cereal",$H17,0)</f>
        <v>0</v>
      </c>
      <c r="AC17" s="1">
        <f>IF($D17="Spring Pea after Cereal",$H17,0)</f>
        <v>0</v>
      </c>
      <c r="AD17" s="1">
        <f>IF($D17="Forage Crop-St. John Area",$H17,0)</f>
        <v>0</v>
      </c>
      <c r="AE17" s="1">
        <f>IF($D17="Forage Crop-Genesee Area",$H17,0)</f>
        <v>0</v>
      </c>
      <c r="AF17" s="1">
        <f>IF($D17="Livestock Grazing",$H17,0)</f>
        <v>0</v>
      </c>
      <c r="AG17" s="1">
        <f>IF($D17="SW Winter Wheat after Cereal",$H17,0)</f>
        <v>0</v>
      </c>
      <c r="AH17" s="1">
        <f>IF($D17="SW Winter Wheat after Fallow",$H17,0)</f>
        <v>0</v>
      </c>
      <c r="AI17" s="1">
        <f>IF($D17="Chem-Fallow",$H17,0)</f>
        <v>0</v>
      </c>
      <c r="AJ17" s="1">
        <f>IF($D17="Flex-Fallow",$H17,0)</f>
        <v>0</v>
      </c>
      <c r="AK17" s="1">
        <f>IF($D17="Spring Barley",$H17,0)</f>
        <v>0</v>
      </c>
      <c r="AL17" s="1">
        <f>IF($D17="Roundup Ready Spring Canola",$H17,0)</f>
        <v>0</v>
      </c>
      <c r="AM17" s="1">
        <f>IF($D17="Spring Canola",$H17,0)</f>
        <v>0</v>
      </c>
      <c r="AN17" s="1">
        <f>IF($D17="Spring Lentils",$H17,0)</f>
        <v>0</v>
      </c>
      <c r="AO17" s="1">
        <f>IF($D17="SW Spring Wheat",$H17,0)</f>
        <v>0</v>
      </c>
      <c r="AP17" s="1">
        <f>IF($D17="HR Winter Wheat",$H17,0)</f>
        <v>0</v>
      </c>
      <c r="AQ17" s="1">
        <f>IF($D17="Winter Pea",$H17,0)</f>
        <v>0</v>
      </c>
      <c r="AR17" s="1">
        <f>IF($D17="Winter Canola",$H17,0)</f>
        <v>0</v>
      </c>
      <c r="AS17" s="322">
        <f>IF($D17="Forage Crop-Soil Builder Blend",$H17,0)</f>
        <v>0</v>
      </c>
      <c r="AT17" s="1">
        <f>IF($D17="SW Winter Wheat after Spring Legume",SWWinterWheatAfterSpringLegume!$H$138,0)</f>
        <v>0</v>
      </c>
      <c r="AU17" s="1">
        <f>IF($D17="SW Winter Wheat after Forage Crop",SWWinterWheatAfterForageCrop!$H$138,0)</f>
        <v>0</v>
      </c>
      <c r="AV17" s="1">
        <f>IF($D17="DN Spring Wheat after Spring Legume",DNSpringWinterAfterSpringLegume!$H$138,0)</f>
        <v>0</v>
      </c>
      <c r="AW17" s="1">
        <f>IF($D17="DN Spring Wheat after Forage Crop",DNSpringWheatAfterForageCrop!$H$138,0)</f>
        <v>0</v>
      </c>
      <c r="AX17" s="1">
        <f>IF($D17="DN Spring Wheat after Winter Crop",DNSpringWheatAfterWinterCrop!$H$138,0)</f>
        <v>0</v>
      </c>
      <c r="AY17" s="1">
        <f>IF($D17="Chickpea after Forage Crop",ChickpeaAfterForageCrop!$H$138,0)</f>
        <v>0</v>
      </c>
      <c r="AZ17" s="1">
        <f>IF($D17="Chickpea after Cereal",ChickpeaAfterCereal!$H$138,0)</f>
        <v>0</v>
      </c>
      <c r="BA17" s="1">
        <f>IF($D17="Spring Pea after Cereal",SpringPeaAfterCereal!$H$138,0)</f>
        <v>0</v>
      </c>
      <c r="BB17" s="1">
        <f>IF($D17="Forage Crop-St. John Area",'ForageCrop-StJohn'!$H$138,0)</f>
        <v>0</v>
      </c>
      <c r="BC17" s="1">
        <f>IF($D17="Forage Crop-Genesee Area",'ForageCrop-Genesee'!$H$138,0)</f>
        <v>0</v>
      </c>
      <c r="BD17" s="1">
        <f>IF($D17="Livestock Grazing",LivestockGrazing!$H$138,0)</f>
        <v>0</v>
      </c>
      <c r="BE17" s="1">
        <f>IF($D17="SW Winter Wheat after Cereal",SWWinterWheatafterCereal!$H$138,0)</f>
        <v>0</v>
      </c>
      <c r="BF17" s="1">
        <f>IF($D17="SW Winter Wheat after Fallow",SWWinterWheatAfterFallow!$H$138,0)</f>
        <v>0</v>
      </c>
      <c r="BG17" s="1">
        <f>IF($D17="Chem-Fallow",'Chem-Fallow'!$H$138,0)</f>
        <v>0</v>
      </c>
      <c r="BH17" s="1">
        <f>IF($D17="Flex-Fallow",'Flex-Fallow'!$H$138,0)</f>
        <v>0</v>
      </c>
      <c r="BI17" s="1">
        <f>IF($D17="Spring Barley",SpringBarley!$H$138,0)</f>
        <v>0</v>
      </c>
      <c r="BJ17" s="1">
        <f>IF($D17="Roundup Ready Spring Canola",'SpringCanola_R-Ready'!$H$138,0)</f>
        <v>0</v>
      </c>
      <c r="BK17" s="1">
        <f>IF($D17="Spring Canola",SpringCanola!$H$138,0)</f>
        <v>0</v>
      </c>
      <c r="BL17" s="1">
        <f>IF($D17="Spring Lentils",SpringLentils!$H$138,0)</f>
        <v>0</v>
      </c>
      <c r="BM17" s="1">
        <f>IF($D17="SW Spring Wheat",SWSpringWheat!$H$138,0)</f>
        <v>0</v>
      </c>
      <c r="BN17" s="1">
        <f>IF($D17="HR Winter Wheat",HRWinterWheat!$H$138,0)</f>
        <v>0</v>
      </c>
      <c r="BO17" s="1">
        <f>IF($D17="Winter Pea",WinterPea!$H$138,0)</f>
        <v>0</v>
      </c>
      <c r="BP17" s="1">
        <f>IF($D17="Winter Canola",WinterCanola!$H$138,0)</f>
        <v>0</v>
      </c>
      <c r="BQ17" s="322">
        <f>IF($D17="Forage Crop-Soil Builder Blend",ForageCrop!$H$138,0)</f>
        <v>0</v>
      </c>
      <c r="BR17" s="1">
        <f>IF($D17="SW Winter Wheat after Spring Legume",H17*SWWinterWheatAfterSpringLegume!$H$138,0)</f>
        <v>0</v>
      </c>
      <c r="BS17" s="1">
        <f>IF($D17="SW Winter Wheat after Forage Crop",H17*SWWinterWheatAfterForageCrop!$H$138,0)</f>
        <v>0</v>
      </c>
      <c r="BT17" s="1">
        <f>IF($D17="DN Spring Wheat after Spring Legume",H17*DNSpringWinterAfterSpringLegume!$H$138,0)</f>
        <v>0</v>
      </c>
      <c r="BU17" s="1">
        <f>IF($D17="DN Spring Wheat after Forage Crop",H17*DNSpringWheatAfterForageCrop!$H$138,0)</f>
        <v>0</v>
      </c>
      <c r="BV17" s="1">
        <f>IF($D17="DN Spring Wheat after Winter Crop",H17*DNSpringWheatAfterWinterCrop!$H$138,0)</f>
        <v>0</v>
      </c>
      <c r="BW17" s="1">
        <f>IF($D17="Chickpea after Forage Crop",H17*ChickpeaAfterForageCrop!$H$138,0)</f>
        <v>0</v>
      </c>
      <c r="BX17" s="1">
        <f>IF($D17="Chickpea after Cereal",H17*ChickpeaAfterCereal!$H$138,0)</f>
        <v>0</v>
      </c>
      <c r="BY17" s="1">
        <f>IF($D17="Spring Pea after Cereal",H17*SpringPeaAfterCereal!$H$138,0)</f>
        <v>0</v>
      </c>
      <c r="BZ17" s="1">
        <f>IF($D17="Forage Crop-St. John Area",H17*'ForageCrop-StJohn'!$H$138,0)</f>
        <v>0</v>
      </c>
      <c r="CA17" s="1">
        <f>IF($D17="Forage Crop-Genesee Area",H17*'ForageCrop-Genesee'!$H$138,0)</f>
        <v>0</v>
      </c>
      <c r="CB17" s="1">
        <f>IF($D17="Livestock Grazing",H17*LivestockGrazing!$H$138,0)</f>
        <v>0</v>
      </c>
      <c r="CC17" s="1">
        <f>IF($D17="SW Winter Wheat after Cereal",H17*SWWinterWheatafterCereal!$H$138,0)</f>
        <v>0</v>
      </c>
      <c r="CD17" s="1">
        <f>IF($D17="SW Winter Wheat after Fallow",H17*SWWinterWheatAfterFallow!$H$138,0)</f>
        <v>0</v>
      </c>
      <c r="CE17" s="1">
        <f>IF($D17="Chem-Fallow",H17*'Chem-Fallow'!$H$138,0)</f>
        <v>0</v>
      </c>
      <c r="CF17" s="1">
        <f>IF($D17="Flex-Fallow",H17*'Flex-Fallow'!$H$138,0)</f>
        <v>0</v>
      </c>
      <c r="CG17" s="1">
        <f>IF($D17="Spring Barley",H17*SpringBarley!$H$138,0)</f>
        <v>0</v>
      </c>
      <c r="CH17" s="1">
        <f>IF($D17="Roundup Ready Spring Canola",H17*'SpringCanola_R-Ready'!$H$138,0)</f>
        <v>0</v>
      </c>
      <c r="CI17" s="1">
        <f>IF($D17="Spring Canola",H17*SpringCanola!$H$138,0)</f>
        <v>0</v>
      </c>
      <c r="CJ17" s="1">
        <f>IF($D17="Spring Lentils",H17*SpringLentils!$H$138,0)</f>
        <v>0</v>
      </c>
      <c r="CK17" s="1">
        <f>IF($D17="SW Spring Wheat",H17*SWSpringWheat!$H$138,0)</f>
        <v>0</v>
      </c>
      <c r="CL17" s="1">
        <f>IF($D17="HR Winter Wheat",H17*HRWinterWheat!$H$138,0)</f>
        <v>0</v>
      </c>
      <c r="CM17" s="1">
        <f>IF($D17="Winter Pea",H17*WinterPea!$H$138,0)</f>
        <v>0</v>
      </c>
      <c r="CN17" s="1">
        <f>IF($D17="Winter Canola",H17*WinterCanola!$H$138,0)</f>
        <v>0</v>
      </c>
      <c r="CO17" s="322">
        <f>IF($D17="Forage Crop-Soil Builder Blend",H17*ForageCrop!$H$138,0)</f>
        <v>0</v>
      </c>
      <c r="CP17" s="1">
        <f>IF($D17="SW Winter Wheat after Spring Legume",H17*'Prices_Yields&amp;SeedInputs'!J$5,0)</f>
        <v>0</v>
      </c>
      <c r="CQ17" s="1">
        <f>IF($D17="SW Winter Wheat after Forage Crop",H17*'Prices_Yields&amp;SeedInputs'!J$6,0)</f>
        <v>0</v>
      </c>
      <c r="CR17" s="1">
        <f>IF($D17="DN Spring Wheat after Spring Legume",H17*'Prices_Yields&amp;SeedInputs'!J$7,0)</f>
        <v>0</v>
      </c>
      <c r="CS17" s="1">
        <f>IF($D17="DN Spring Wheat after Forage Crop",H17*'Prices_Yields&amp;SeedInputs'!J$8,0)</f>
        <v>0</v>
      </c>
      <c r="CT17" s="1">
        <f>IF($D17="DN Spring Wheat after Winter Crop",H17*'Prices_Yields&amp;SeedInputs'!J$9,0)</f>
        <v>0</v>
      </c>
      <c r="CU17" s="1">
        <f>IF($D17="Chickpea after Forage Crop",H17*'Prices_Yields&amp;SeedInputs'!J$10,0)</f>
        <v>0</v>
      </c>
      <c r="CV17" s="1">
        <f>IF($D17="Chickpea after Cereal",H17*'Prices_Yields&amp;SeedInputs'!J$11,0)</f>
        <v>0</v>
      </c>
      <c r="CW17" s="1">
        <f>IF($D17="Spring Pea after Cereal",H17*'Prices_Yields&amp;SeedInputs'!J$12,0)</f>
        <v>0</v>
      </c>
      <c r="CX17" s="1">
        <f>IF($D17="Forage Crop-St. John Area",H17*'Prices_Yields&amp;SeedInputs'!J$13,0)</f>
        <v>0</v>
      </c>
      <c r="CY17" s="1">
        <f>IF($D17="Forage Crop-Genesee Area",H17*'Prices_Yields&amp;SeedInputs'!J$14,0)</f>
        <v>0</v>
      </c>
      <c r="CZ17" s="1">
        <f>IF($D17="Livestock Grazing",H17*'Prices_Yields&amp;SeedInputs'!J$15,0)</f>
        <v>0</v>
      </c>
      <c r="DA17" s="1">
        <f>IF($D17="SW Winter Wheat after Cereal",H17*'Prices_Yields&amp;SeedInputs'!J$16,0)</f>
        <v>0</v>
      </c>
      <c r="DB17" s="1">
        <f>IF($D17="SW Winter Wheat after Fallow",H17*'Prices_Yields&amp;SeedInputs'!J$17,0)</f>
        <v>0</v>
      </c>
      <c r="DC17" s="1">
        <f>IF($D17="Chem-Fallow",H17*'Prices_Yields&amp;SeedInputs'!J$18,0)</f>
        <v>0</v>
      </c>
      <c r="DD17" s="1">
        <f>IF($D17="Flex-Fallow",H17*'Prices_Yields&amp;SeedInputs'!J$19,0)</f>
        <v>0</v>
      </c>
      <c r="DE17" s="1">
        <f>IF($D17="Spring Barley",H17*'Prices_Yields&amp;SeedInputs'!J$20,0)</f>
        <v>0</v>
      </c>
      <c r="DF17" s="1">
        <f>IF($D17="Roundup Ready Spring Canola",H17*'Prices_Yields&amp;SeedInputs'!J$21,0)</f>
        <v>0</v>
      </c>
      <c r="DG17" s="1">
        <f>IF($D17="Spring Canola",H17*'Prices_Yields&amp;SeedInputs'!J$22,0)</f>
        <v>0</v>
      </c>
      <c r="DH17" s="1">
        <f>IF($D17="Spring Lentils",H17*'Prices_Yields&amp;SeedInputs'!J$23,0)</f>
        <v>0</v>
      </c>
      <c r="DI17" s="1">
        <f>IF($D17="SW Spring Wheat",H17*'Prices_Yields&amp;SeedInputs'!J$24,0)</f>
        <v>0</v>
      </c>
      <c r="DJ17" s="1">
        <f>IF($D17="HR Winter Wheat",H17*'Prices_Yields&amp;SeedInputs'!J$25,0)</f>
        <v>0</v>
      </c>
      <c r="DK17" s="1">
        <f>IF($D17="Winter Pea",H17*'Prices_Yields&amp;SeedInputs'!J$26,0)</f>
        <v>0</v>
      </c>
      <c r="DL17" s="1">
        <f>IF($D17="Winter Canola",H17*'Prices_Yields&amp;SeedInputs'!J$27,0)</f>
        <v>0</v>
      </c>
      <c r="DM17" s="322">
        <f>IF($D17="Forage Crop-Soil Builder Blend",H17*'Prices_Yields&amp;SeedInputs'!J$28,0)</f>
        <v>0</v>
      </c>
      <c r="DN17" s="1">
        <f>IF($D17="SW Winter Wheat after Spring Legume",$H17*SWWinterWheatAfterSpringLegume!$H$135,0)</f>
        <v>0</v>
      </c>
      <c r="DO17" s="1">
        <f>IF($D17="SW Winter Wheat after Forage Crop",$H17*SWWinterWheatAfterForageCrop!$H$135,0)</f>
        <v>0</v>
      </c>
      <c r="DP17" s="1">
        <f>IF($D17="DN Spring Wheat after Spring Legume",$H17*DNSpringWinterAfterSpringLegume!$H$135,0)</f>
        <v>0</v>
      </c>
      <c r="DQ17" s="1">
        <f>IF($D17="DN Spring Wheat after Forage Crop",$H17*DNSpringWheatAfterForageCrop!$H$135,0)</f>
        <v>0</v>
      </c>
      <c r="DR17" s="1">
        <f>IF($D17="DN Spring Wheat after Winter Crop",$H17*DNSpringWheatAfterWinterCrop!$H$135,0)</f>
        <v>0</v>
      </c>
      <c r="DS17" s="1">
        <f>IF($D17="Chickpea after Forage Crop",$H17*ChickpeaAfterForageCrop!$H$135,0)</f>
        <v>0</v>
      </c>
      <c r="DT17" s="1">
        <f>IF($D17="Chickpea after Cereal",$H17*ChickpeaAfterCereal!$H$135,0)</f>
        <v>0</v>
      </c>
      <c r="DU17" s="1">
        <f>IF($D17="Spring Pea after Cereal",$H17*SpringPeaAfterCereal!$H$135,0)</f>
        <v>0</v>
      </c>
      <c r="DV17" s="1">
        <f>IF($D17="Forage Crop-St. John Area",$H17*'ForageCrop-StJohn'!$H$135,0)</f>
        <v>0</v>
      </c>
      <c r="DW17" s="1">
        <f>IF($D17="Forage Crop-Genesee Area",$H17*'ForageCrop-Genesee'!$H$135,0)</f>
        <v>0</v>
      </c>
      <c r="DX17" s="1">
        <f>IF($D17="Livestock Grazing",$H17*LivestockGrazing!$H$135,0)</f>
        <v>0</v>
      </c>
      <c r="DY17" s="1">
        <f>IF($D17="SW Winter Wheat after Cereal",$H17*SWWinterWheatafterCereal!$H$135,0)</f>
        <v>0</v>
      </c>
      <c r="DZ17" s="1">
        <f>IF($D17="SW Winter Wheat after Fallow",$H17*SWWinterWheatAfterFallow!$H$135,0)</f>
        <v>0</v>
      </c>
      <c r="EA17" s="1">
        <f>IF($D17="Chem-Fallow",$H17*'Chem-Fallow'!$H$135,0)</f>
        <v>0</v>
      </c>
      <c r="EB17" s="1">
        <f>IF($D17="Flex-Fallow",$H17*'Flex-Fallow'!$H$135,0)</f>
        <v>0</v>
      </c>
      <c r="EC17" s="1">
        <f>IF($D17="Spring Barley",$H17*SpringBarley!$H$135,0)</f>
        <v>0</v>
      </c>
      <c r="ED17" s="1">
        <f>IF($D17="Roundup Ready Spring Canola",$H17*'SpringCanola_R-Ready'!$H$135,0)</f>
        <v>0</v>
      </c>
      <c r="EE17" s="1">
        <f>IF($D17="Spring Canola",$H17*SpringCanola!$H$135,0)</f>
        <v>0</v>
      </c>
      <c r="EF17" s="1">
        <f>IF($D17="Spring Lentils",$H17*SpringLentils!$H$135,0)</f>
        <v>0</v>
      </c>
      <c r="EG17" s="1">
        <f>IF($D17="SW Spring Wheat",$H17*SWSpringWheat!$H$135,0)</f>
        <v>0</v>
      </c>
      <c r="EH17" s="1">
        <f>IF($D17="HR Winter Wheat",$H17*HRWinterWheat!$H$135,0)</f>
        <v>0</v>
      </c>
      <c r="EI17" s="1">
        <f>IF($D17="Winter Pea",$H17*WinterPea!$H$135,0)</f>
        <v>0</v>
      </c>
      <c r="EJ17" s="1">
        <f>IF($D17="Winter Canola",$H17*WinterCanola!$H$135,0)</f>
        <v>0</v>
      </c>
      <c r="EK17" s="322">
        <f>IF($D17="Forage Crop-Soil Builder Blend",$H17*ForageCrop!$H$135,0)</f>
        <v>0</v>
      </c>
      <c r="EL17" s="1">
        <f>IF($D17="SW Winter Wheat after Spring Legume",$H17*SWWinterWheatAfterSpringLegume!$J$116,0)</f>
        <v>0</v>
      </c>
      <c r="EM17" s="1">
        <f>IF($D17="SW Winter Wheat after Forage Crop",$H17*SWWinterWheatAfterForageCrop!$J$116,0)</f>
        <v>0</v>
      </c>
      <c r="EN17" s="1">
        <f>IF($D17="DN Spring Wheat after Spring Legume",$H17*DNSpringWinterAfterSpringLegume!$J$116,0)</f>
        <v>0</v>
      </c>
      <c r="EO17" s="1">
        <f>IF($D17="DN Spring Wheat after Forage Crop",$H17*DNSpringWheatAfterForageCrop!$J$116,0)</f>
        <v>0</v>
      </c>
      <c r="EP17" s="1">
        <f>IF($D17="DN Spring Wheat after Winter Crop",$H17*DNSpringWheatAfterWinterCrop!$J$116,0)</f>
        <v>0</v>
      </c>
      <c r="EQ17" s="1">
        <f>IF($D17="Chickpea after Forage Crop",$H17*ChickpeaAfterForageCrop!$J$116,0)</f>
        <v>0</v>
      </c>
      <c r="ER17" s="1">
        <f>IF($D17="Chickpea after Cereal",$H17*ChickpeaAfterCereal!$J$116,0)</f>
        <v>0</v>
      </c>
      <c r="ES17" s="1">
        <f>IF($D17="Spring Pea after Cereal",$H17*SpringPeaAfterCereal!$J$116,0)</f>
        <v>0</v>
      </c>
      <c r="ET17" s="1">
        <f>IF($D17="Forage Crop-St. John Area",$H17*'ForageCrop-StJohn'!$J$116,0)</f>
        <v>0</v>
      </c>
      <c r="EU17" s="1">
        <f>IF($D17="Forage Crop-Genesee Area",$H17*'ForageCrop-Genesee'!$J$116,0)</f>
        <v>0</v>
      </c>
      <c r="EV17" s="1">
        <f>IF($D17="Livestock Grazing",$H17*LivestockGrazing!$J$116,0)</f>
        <v>0</v>
      </c>
      <c r="EW17" s="1">
        <f>IF($D17="SW Winter Wheat after Cereal",$H17*SWWinterWheatafterCereal!$J$116,0)</f>
        <v>0</v>
      </c>
      <c r="EX17" s="1">
        <f>IF($D17="SW Winter Wheat after Fallow",$H17*SWWinterWheatAfterFallow!$J$116,0)</f>
        <v>0</v>
      </c>
      <c r="EY17" s="1">
        <f>IF($D17="Chem-Fallow",$H17*'Chem-Fallow'!$J$116,0)</f>
        <v>0</v>
      </c>
      <c r="EZ17" s="1">
        <f>IF($D17="Flex-Fallow",$H17*'Flex-Fallow'!$J$116,0)</f>
        <v>0</v>
      </c>
      <c r="FA17" s="1">
        <f>IF($D17="Spring Barley",$H17*SpringBarley!$J$116,0)</f>
        <v>0</v>
      </c>
      <c r="FB17" s="1">
        <f>IF($D17="Roundup Ready Spring Canola",$H17*'SpringCanola_R-Ready'!$J$116,0)</f>
        <v>0</v>
      </c>
      <c r="FC17" s="1">
        <f>IF($D17="Spring Canola",$H17*SpringCanola!$J$116,0)</f>
        <v>0</v>
      </c>
      <c r="FD17" s="1">
        <f>IF($D17="Spring Lentils",$H17*SpringLentils!$J$116,0)</f>
        <v>0</v>
      </c>
      <c r="FE17" s="1">
        <f>IF($D17="SW Spring Wheat",$H17*SWSpringWheat!$J$116,0)</f>
        <v>0</v>
      </c>
      <c r="FF17" s="1">
        <f>IF($D17="HR Winter Wheat",$H17*HRWinterWheat!$J$116,0)</f>
        <v>0</v>
      </c>
      <c r="FG17" s="1">
        <f>IF($D17="Winter Pea",$H17*WinterPea!$J$116,0)</f>
        <v>0</v>
      </c>
      <c r="FH17" s="1">
        <f>IF($D17="Winter Canola",$H17*WinterCanola!$J$116,0)</f>
        <v>0</v>
      </c>
      <c r="FI17" s="322">
        <f>IF($D17="Forage Crop-Soil Builder Blend",$H17*ForageCrop!$J$116,0)</f>
        <v>0</v>
      </c>
      <c r="FJ17" s="1">
        <f>IF($D17="SW Winter Wheat after Spring Legume",$H17*SWWinterWheatAfterSpringLegume!$J$117,0)</f>
        <v>0</v>
      </c>
      <c r="FK17" s="1">
        <f>IF($D17="SW Winter Wheat after Forage Crop",$H17*SWWinterWheatAfterForageCrop!$J$117,0)</f>
        <v>0</v>
      </c>
      <c r="FL17" s="1">
        <f>IF($D17="DN Spring Wheat after Spring Legume",$H17*DNSpringWinterAfterSpringLegume!$J$117,0)</f>
        <v>0</v>
      </c>
      <c r="FM17" s="1">
        <f>IF($D17="DN Spring Wheat after Forage Crop",$H17*DNSpringWheatAfterForageCrop!$J$117,0)</f>
        <v>0</v>
      </c>
      <c r="FN17" s="1">
        <f>IF($D17="DN Spring Wheat after Winter Crop",$H17*DNSpringWheatAfterWinterCrop!$J$117,0)</f>
        <v>0</v>
      </c>
      <c r="FO17" s="1">
        <f>IF($D17="Chickpea after Forage Crop",$H17*ChickpeaAfterForageCrop!$J$117,0)</f>
        <v>0</v>
      </c>
      <c r="FP17" s="1">
        <f>IF($D17="Chickpea after Cereal",$H17*ChickpeaAfterCereal!$J$117,0)</f>
        <v>0</v>
      </c>
      <c r="FQ17" s="1">
        <f>IF($D17="Spring Pea after Cereal",$H17*SpringPeaAfterCereal!$J$117,0)</f>
        <v>0</v>
      </c>
      <c r="FR17" s="1">
        <f>IF($D17="Forage Crop-St. John Area",$H17*'ForageCrop-StJohn'!$J$117,0)</f>
        <v>0</v>
      </c>
      <c r="FS17" s="1">
        <f>IF($D17="Forage Crop-Genesee Area",$H17*'ForageCrop-Genesee'!$J$117,0)</f>
        <v>0</v>
      </c>
      <c r="FT17" s="1">
        <f>IF($D17="Livestock Grazing",$H17*LivestockGrazing!$J$117,0)</f>
        <v>0</v>
      </c>
      <c r="FU17" s="1">
        <f>IF($D17="SW Winter Wheat after Cereal",$H17*SWWinterWheatafterCereal!$J$117,0)</f>
        <v>0</v>
      </c>
      <c r="FV17" s="1">
        <f>IF($D17="SW Winter Wheat after Fallow",$H17*SWWinterWheatAfterFallow!$J$117,0)</f>
        <v>0</v>
      </c>
      <c r="FW17" s="1">
        <f>IF($D17="Chem-Fallow",$H17*'Chem-Fallow'!$J$117,0)</f>
        <v>0</v>
      </c>
      <c r="FX17" s="1">
        <f>IF($D17="Flex-Fallow",$H17*'Flex-Fallow'!$J$117,0)</f>
        <v>0</v>
      </c>
      <c r="FY17" s="1">
        <f>IF($D17="Spring Barley",$H17*SpringBarley!$J$117,0)</f>
        <v>0</v>
      </c>
      <c r="FZ17" s="1">
        <f>IF($D17="Roundup Ready Spring Canola",$H17*'SpringCanola_R-Ready'!$J$117,0)</f>
        <v>0</v>
      </c>
      <c r="GA17" s="1">
        <f>IF($D17="Spring Canola",$H17*SpringCanola!$J$117,0)</f>
        <v>0</v>
      </c>
      <c r="GB17" s="1">
        <f>IF($D17="Spring Lentils",$H17*SpringLentils!$J$117,0)</f>
        <v>0</v>
      </c>
      <c r="GC17" s="1">
        <f>IF($D17="SW Spring Wheat",$H17*SWSpringWheat!$J$117,0)</f>
        <v>0</v>
      </c>
      <c r="GD17" s="1">
        <f>IF($D17="HR Winter Wheat",$H17*HRWinterWheat!$J$117,0)</f>
        <v>0</v>
      </c>
      <c r="GE17" s="1">
        <f>IF($D17="Winter Pea",$H17*WinterPea!$J$117,0)</f>
        <v>0</v>
      </c>
      <c r="GF17" s="1">
        <f>IF($D17="Winter Canola",$H17*WinterCanola!$J$117,0)</f>
        <v>0</v>
      </c>
      <c r="GG17" s="322">
        <f>IF($D17="Forage Crop-Soil Builder Blend",$H17*ForageCrop!$J$117,0)</f>
        <v>0</v>
      </c>
      <c r="GH17" s="1">
        <f>IF($D17="SW Winter Wheat after Spring Legume",$H17*SWWinterWheatAfterSpringLegume!$L$118,0)</f>
        <v>0</v>
      </c>
      <c r="GI17" s="1">
        <f>IF($D17="SW Winter Wheat after Forage Crop",$H17*SWWinterWheatAfterForageCrop!$L$118,0)</f>
        <v>0</v>
      </c>
      <c r="GJ17" s="1">
        <f>IF($D17="DN Spring Wheat after Spring Legume",$H17*DNSpringWinterAfterSpringLegume!$L$118,0)</f>
        <v>0</v>
      </c>
      <c r="GK17" s="1">
        <f>IF($D17="DN Spring Wheat after Forage Crop",$H17*DNSpringWheatAfterForageCrop!$L$118,0)</f>
        <v>0</v>
      </c>
      <c r="GL17" s="1">
        <f>IF($D17="DN Spring Wheat after Winter Crop",$H17*DNSpringWheatAfterWinterCrop!$L$118,0)</f>
        <v>0</v>
      </c>
      <c r="GM17" s="1">
        <f>IF($D17="Chickpea after Forage Crop",$H17*ChickpeaAfterForageCrop!$L$118,0)</f>
        <v>0</v>
      </c>
      <c r="GN17" s="1">
        <f>IF($D17="Chickpea after Cereal",$H17*ChickpeaAfterCereal!$L$118,0)</f>
        <v>0</v>
      </c>
      <c r="GO17" s="1">
        <f>IF($D17="Spring Pea after Cereal",$H17*SpringPeaAfterCereal!$L$118,0)</f>
        <v>0</v>
      </c>
      <c r="GP17" s="1">
        <f>IF($D17="Forage Crop-St. John Area",$H17*'ForageCrop-StJohn'!$L$118,0)</f>
        <v>0</v>
      </c>
      <c r="GQ17" s="1">
        <f>IF($D17="Forage Crop-Genesee Area",$H17*'ForageCrop-Genesee'!$L$118,0)</f>
        <v>0</v>
      </c>
      <c r="GR17" s="1">
        <f>IF($D17="Livestock Grazing",$H17*LivestockGrazing!$L$118,0)</f>
        <v>0</v>
      </c>
      <c r="GS17" s="1">
        <f>IF($D17="SW Winter Wheat after Cereal",$H17*SWWinterWheatafterCereal!$L$118,0)</f>
        <v>0</v>
      </c>
      <c r="GT17" s="1">
        <f>IF($D17="SW Winter Wheat after Fallow",$H17*SWWinterWheatAfterFallow!$L$118,0)</f>
        <v>0</v>
      </c>
      <c r="GU17" s="1">
        <f>IF($D17="Chem-Fallow",$H17*'Chem-Fallow'!$L$118,0)</f>
        <v>0</v>
      </c>
      <c r="GV17" s="1">
        <f>IF($D17="Flex-Fallow",$H17*'Flex-Fallow'!$L$118,0)</f>
        <v>0</v>
      </c>
      <c r="GW17" s="1">
        <f>IF($D17="Spring Barley",$H17*SpringBarley!$L$118,0)</f>
        <v>0</v>
      </c>
      <c r="GX17" s="1">
        <f>IF($D17="Roundup Ready Spring Canola",$H17*'SpringCanola_R-Ready'!$L$118,0)</f>
        <v>0</v>
      </c>
      <c r="GY17" s="1">
        <f>IF($D17="Spring Canola",$H17*SpringCanola!$L$118,0)</f>
        <v>0</v>
      </c>
      <c r="GZ17" s="1">
        <f>IF($D17="Spring Lentils",$H17*SpringLentils!$L$118,0)</f>
        <v>0</v>
      </c>
      <c r="HA17" s="1">
        <f>IF($D17="SW Spring Wheat",$H17*SWSpringWheat!$L$118,0)</f>
        <v>0</v>
      </c>
      <c r="HB17" s="1">
        <f>IF($D17="HR Winter Wheat",$H17*HRWinterWheat!$L$118,0)</f>
        <v>0</v>
      </c>
      <c r="HC17" s="1">
        <f>IF($D17="Winter Pea",$H17*WinterPea!$L$118,0)</f>
        <v>0</v>
      </c>
      <c r="HD17" s="1">
        <f>IF($D17="Winter Canola",$H17*WinterCanola!$L$118,0)</f>
        <v>0</v>
      </c>
      <c r="HE17" s="322">
        <f>IF($D17="Forage Crop-Soil Builder Blend",$H17*ForageCrop!$L$118,0)</f>
        <v>0</v>
      </c>
      <c r="HF17" s="1">
        <f>IF($D17="SW Winter Wheat after Spring Legume",($H17*(SUM(SWWinterWheatAfterSpringLegume!$E$9:$E$16)+SWWinterWheatAfterSpringLegume!$G$16))/2000,0)</f>
        <v>0</v>
      </c>
      <c r="HG17" s="1">
        <f>IF($D17="SW Winter Wheat after Forage Crop",($H17*(SUM(SWWinterWheatAfterForageCrop!$E$9:$E$16)+SWWinterWheatAfterForageCrop!$G$17))/2000,0)</f>
        <v>0</v>
      </c>
      <c r="HH17" s="1">
        <f>IF($D17="DN Spring Wheat after Spring Legume",($H17*(SUM(DNSpringWinterAfterSpringLegume!$E$9:$E$16)+DNSpringWinterAfterSpringLegume!$G$16))/2000,0)</f>
        <v>0</v>
      </c>
      <c r="HI17" s="1">
        <f>IF($D17="DN Spring Wheat after Forage Crop",($H17*(SUM(DNSpringWheatAfterForageCrop!$E$9:$E$16)+DNSpringWheatAfterForageCrop!$G$14))/2000,0)</f>
        <v>0</v>
      </c>
      <c r="HJ17" s="1">
        <f>IF($D17="DN Spring Wheat after Winter Crop",($H17*(SUM(DNSpringWheatAfterWinterCrop!$E$9:$E$16)+DNSpringWheatAfterWinterCrop!$G$16))/2000,0)</f>
        <v>0</v>
      </c>
      <c r="HK17" s="1">
        <f>IF($D17="Chickpea after Forage Crop",($H17*(SUM(ChickpeaAfterForageCrop!$E$9:$E$16)+ChickpeaAfterForageCrop!$G$14))/2000,0)</f>
        <v>0</v>
      </c>
      <c r="HL17" s="1">
        <f>IF($D17="Chickpea after Cereal",($H17*(SUM(ChickpeaAfterCereal!$E$9:$E$16)+ChickpeaAfterCereal!$G$14))/2000,0)</f>
        <v>0</v>
      </c>
      <c r="HM17" s="1">
        <f>IF($D17="Spring Pea after Cereal",($H17*(SUM(SpringPeaAfterCereal!$E$9:$E$16)+SpringPeaAfterCereal!$G$14))/2000,0)</f>
        <v>0</v>
      </c>
      <c r="HN17" s="1">
        <f>IF($D17="Forage Crop-St. John Area",($H17*(SUM('ForageCrop-StJohn'!$E$9:$E$16)+'ForageCrop-StJohn'!$G$14))/2000,0)</f>
        <v>0</v>
      </c>
      <c r="HO17" s="1">
        <f>IF($D17="Forage Crop-Genesee Area",($H17*(SUM('ForageCrop-Genesee'!$E$9:$E$16)+'ForageCrop-Genesee'!$G$14))/2000,0)</f>
        <v>0</v>
      </c>
      <c r="HP17" s="1">
        <f>IF($D17="Livestock Grazing",($H17*(SUM(LivestockGrazing!$E$9:$E$16)+LivestockGrazing!$G$14))/2000,0)</f>
        <v>0</v>
      </c>
      <c r="HQ17" s="1">
        <f>IF($D17="SW Winter Wheat after Cereal",($H17*(SUM(SWWinterWheatafterCereal!$E$9:$E$16)+SWWinterWheatafterCereal!$G$16))/2000,0)</f>
        <v>0</v>
      </c>
      <c r="HR17" s="1">
        <f>IF($D17="SW Winter Wheat after Fallow",($H17*(SUM(SWWinterWheatAfterFallow!$E$9:$E$16)+SWWinterWheatAfterFallow!$G$14))/2000,0)</f>
        <v>0</v>
      </c>
      <c r="HS17" s="1">
        <f>IF($D17="Chem-Fallow",($H17*(SUM('Chem-Fallow'!$E$9:$E$16)+'Chem-Fallow'!$G$16))/2000,0)</f>
        <v>0</v>
      </c>
      <c r="HT17" s="1">
        <f>IF($D17="Flex-Fallow",($H17*(SUM('Flex-Fallow'!$E$9:$E$16)+'Flex-Fallow'!$G$16))/2000,0)</f>
        <v>0</v>
      </c>
      <c r="HU17" s="1">
        <f>IF($D17="Spring Barley",($H17*(SUM(SpringBarley!$E$9:$E$16)+SpringBarley!$G$16))/2000,0)</f>
        <v>0</v>
      </c>
      <c r="HV17" s="1">
        <f>IF($D17="Roundup Ready Spring Canola",($H17*(SUM('SpringCanola_R-Ready'!$E$9:$E$16)+'SpringCanola_R-Ready'!$G$14))/2000,0)</f>
        <v>0</v>
      </c>
      <c r="HW17" s="1">
        <f>IF($D17="Spring Canola",($H17*(SUM(SpringCanola!$E$9:$E$16)+SpringCanola!$G$14))/2000,0)</f>
        <v>0</v>
      </c>
      <c r="HX17" s="1">
        <f>IF($D17="Spriing Lentils",($H17*(SUM(SpringLentils!$E$9:$E$16)+SpringLentils!$G$14))/2000,0)</f>
        <v>0</v>
      </c>
      <c r="HY17" s="1">
        <f>IF($D17="SW Spring Wheat",($H17*(SUM(SWSpringWheat!$E$9:$E$16)+SWSpringWheat!$G$18))/2000,0)</f>
        <v>0</v>
      </c>
      <c r="HZ17" s="1">
        <f>IF($D17="HR Winter Wheat",($H17*(SUM(HRWinterWheat!$E$9:$E$16)+HRWinterWheat!$G$16))/2000,0)</f>
        <v>0</v>
      </c>
      <c r="IA17" s="1">
        <f>IF($D17="Winter Pea",($H17*(SUM(WinterPea!$E$9:$E$16)+WinterPea!$G$14))/2000,0)</f>
        <v>0</v>
      </c>
      <c r="IB17" s="1">
        <f>IF($D17="Winter Canola",($H17*(SUM(WinterCanola!$E$9:$E$16)+WinterCanola!$G$14))/2000,0)</f>
        <v>0</v>
      </c>
      <c r="IC17" s="322">
        <f>IF($D17="Forage Crop-Soil Builder Blend",($H17*(SUM(ForageCrop!$E$9:$E$16)+ForageCrop!$G$14))/2000,0)</f>
        <v>0</v>
      </c>
      <c r="ID17" s="1">
        <f>IF($D17="SW Winter Wheat after Spring Legume",$H17*SWWinterWheatAfterSpringLegume!$G$62,0)</f>
        <v>0</v>
      </c>
      <c r="IE17" s="1">
        <f>IF($D17="SW Winter Wheat after Forage Crop",$H17*SWWinterWheatAfterForageCrop!$G$62,0)</f>
        <v>0</v>
      </c>
      <c r="IF17" s="1">
        <f>IF($D17="DN Spring Wheat after Spring Legume",$H17*DNSpringWinterAfterSpringLegume!$G$62,0)</f>
        <v>0</v>
      </c>
      <c r="IG17" s="1">
        <f>IF($D17="DN Spring Wheat after Forage Crop",$H17*DNSpringWheatAfterForageCrop!$G$62,0)</f>
        <v>0</v>
      </c>
      <c r="IH17" s="1">
        <f>IF($D17="DN Spring Wheat after Winter Crop",$H17*DNSpringWheatAfterWinterCrop!$G$62,0)</f>
        <v>0</v>
      </c>
      <c r="II17" s="1">
        <f>IF($D17="Chickpea after Forage Crop",$H17*ChickpeaAfterForageCrop!$G$62,0)</f>
        <v>0</v>
      </c>
      <c r="IJ17" s="1">
        <f>IF($D17="Chickpea after Cereal",$H17*ChickpeaAfterCereal!$G$62,0)</f>
        <v>0</v>
      </c>
      <c r="IK17" s="1">
        <f>IF($D17="Spring Pea after Cereal",$H17*SpringPeaAfterCereal!$G$62,0)</f>
        <v>0</v>
      </c>
      <c r="IL17" s="1">
        <f>IF($D17="Forage Crop-St. John Area",$H17*'ForageCrop-StJohn'!$G$62,0)</f>
        <v>0</v>
      </c>
      <c r="IM17" s="1">
        <f>IF($D17="Forage Crop-Genesee Area",$H17*'ForageCrop-Genesee'!$G$62,0)</f>
        <v>0</v>
      </c>
      <c r="IN17" s="1">
        <f>IF($D17="Livestock Grazing",$H17*LivestockGrazing!$G$62,0)</f>
        <v>0</v>
      </c>
      <c r="IO17" s="1">
        <f>IF($D17="SW Winter Wheat after Cereal",$H17*SWWinterWheatafterCereal!$G$62,0)</f>
        <v>0</v>
      </c>
      <c r="IP17" s="1">
        <f>IF($D17="SW Winter Wheat after Fallow",$H17*SWWinterWheatAfterFallow!$G$62,0)</f>
        <v>0</v>
      </c>
      <c r="IQ17" s="1">
        <f>IF($D17="Chem-Fallow",$H17*'Chem-Fallow'!$G$62,0)</f>
        <v>0</v>
      </c>
      <c r="IR17" s="1">
        <f>IF($D17="Flex-Fallow",$H17*'Flex-Fallow'!$G$62,0)</f>
        <v>0</v>
      </c>
      <c r="IS17" s="1">
        <f>IF($D17="Spring Barley",$H17*SpringBarley!$G$62,0)</f>
        <v>0</v>
      </c>
      <c r="IT17" s="1">
        <f>IF($D17="Roundup Ready Spring Canola",$H17*'SpringCanola_R-Ready'!$G$62,0)</f>
        <v>0</v>
      </c>
      <c r="IU17" s="1">
        <f>IF($D17="Spring Canola",$H17*SpringCanola!$G$62,0)</f>
        <v>0</v>
      </c>
      <c r="IV17" s="1">
        <f>IF($D17="Spriing Lentils",$H17*SpringLentils!$G$62,0)</f>
        <v>0</v>
      </c>
      <c r="IW17" s="1">
        <f>IF($D17="SW Spring Wheat",$H17*SWSpringWheat!$G$62,0)</f>
        <v>0</v>
      </c>
      <c r="IX17" s="1">
        <f>IF($D17="HR Winter Wheat",$H17*HRWinterWheat!$G$62,0)</f>
        <v>0</v>
      </c>
      <c r="IY17" s="1">
        <f>IF($D17="Winter Pea",$H17*WinterPea!$G$62,0)</f>
        <v>0</v>
      </c>
      <c r="IZ17" s="1">
        <f>IF($D17="Winter Canola",$H17*+WinterCanola!$G$62,0)</f>
        <v>0</v>
      </c>
      <c r="JA17" s="1">
        <f>IF($D17="Forage Crop-Soil Builder Blend",$H17*ForageCrop!$G$62,0)</f>
        <v>0</v>
      </c>
      <c r="JB17" s="1">
        <f>IF($D17="SW Winter Wheat after Spring Legume",$H17*'Prices_Yields&amp;SeedInputs'!F5,0)</f>
        <v>0</v>
      </c>
      <c r="JC17" s="1">
        <f>IF($D17="SW Winter Wheat after Forage Crop",$H17*'Prices_Yields&amp;SeedInputs'!F6,0)</f>
        <v>0</v>
      </c>
      <c r="JD17" s="1">
        <f>IF($D17="DN Spring Wheat after Spring Legume",$H17*'Prices_Yields&amp;SeedInputs'!F$7,0)</f>
        <v>0</v>
      </c>
      <c r="JE17" s="1">
        <f>IF($D17="DN Spring Wheat after Forage Crop",$H17*'Prices_Yields&amp;SeedInputs'!F$8,0)</f>
        <v>0</v>
      </c>
      <c r="JF17" s="1">
        <f>IF($D17="DN Spring Wheat after Winter Crop",$H17*'Prices_Yields&amp;SeedInputs'!F$9,0)</f>
        <v>0</v>
      </c>
      <c r="JG17" s="1">
        <f>IF($D17="Chickpea after Forage Crop",$H17*'Prices_Yields&amp;SeedInputs'!F$10,0)</f>
        <v>0</v>
      </c>
      <c r="JH17" s="1">
        <f>IF($D17="Chickpea after Cereal",$H17*'Prices_Yields&amp;SeedInputs'!F$11,0)</f>
        <v>0</v>
      </c>
      <c r="JI17" s="1">
        <f>IF($D17="Spring Pea after Cereal",$H17*'Prices_Yields&amp;SeedInputs'!F$12,0)</f>
        <v>0</v>
      </c>
      <c r="JJ17" s="1">
        <f>IF($D17="Forage Crop-St. John Area",$H17*'Prices_Yields&amp;SeedInputs'!F$13,0)</f>
        <v>0</v>
      </c>
      <c r="JK17" s="1">
        <f>IF($D17="Forage Crop-Genesee Area",$H17*'Prices_Yields&amp;SeedInputs'!F$14,0)</f>
        <v>0</v>
      </c>
      <c r="JL17" s="1">
        <f>IF($D17="Livestock Grazing",$H17*'Prices_Yields&amp;SeedInputs'!F$15,0)</f>
        <v>0</v>
      </c>
      <c r="JM17" s="1">
        <f>IF($D17="SW Winter Wheat after Cereal",$H17*'Prices_Yields&amp;SeedInputs'!F$16,0)</f>
        <v>0</v>
      </c>
      <c r="JN17" s="1">
        <f>IF($D17="SW Winter Wheat after Fallow",$H17*'Prices_Yields&amp;SeedInputs'!F$17,0)</f>
        <v>0</v>
      </c>
      <c r="JO17" s="1">
        <f>IF($D17="Chem-Fallow",$H17*'Prices_Yields&amp;SeedInputs'!F$18,0)</f>
        <v>0</v>
      </c>
      <c r="JP17" s="1">
        <f>IF($D17="Flex-Fallow",$H17*'Prices_Yields&amp;SeedInputs'!F$19,0)</f>
        <v>0</v>
      </c>
      <c r="JQ17" s="1">
        <f>IF($D17="Spring Barley",$H17*'Prices_Yields&amp;SeedInputs'!F$20,0)</f>
        <v>0</v>
      </c>
      <c r="JR17" s="1">
        <f>IF($D17="Roundup Ready Spring Canola",$H17*'Prices_Yields&amp;SeedInputs'!F$21,0)</f>
        <v>0</v>
      </c>
      <c r="JS17" s="1">
        <f>IF($D17="Spring Canola",$H17*'Prices_Yields&amp;SeedInputs'!F$22,0)</f>
        <v>0</v>
      </c>
      <c r="JT17" s="1">
        <f>IF($D17="Spriing Lentils",$H17*'Prices_Yields&amp;SeedInputs'!F$23,0)</f>
        <v>0</v>
      </c>
      <c r="JU17" s="1">
        <f>IF($D17="SW Spring Wheat",$H17*'Prices_Yields&amp;SeedInputs'!F$24,0)</f>
        <v>0</v>
      </c>
      <c r="JV17" s="1">
        <f>IF($D17="HR Winter Wheat",$H17*'Prices_Yields&amp;SeedInputs'!F$26,0)</f>
        <v>0</v>
      </c>
      <c r="JW17" s="1">
        <f>IF($D17="Winter Pea",$H17*'Prices_Yields&amp;SeedInputs'!F$26,0)</f>
        <v>0</v>
      </c>
      <c r="JX17" s="1">
        <f>IF($D17="Winter Canola",$H17*'Prices_Yields&amp;SeedInputs'!F$27,0)</f>
        <v>0</v>
      </c>
      <c r="JY17" s="1">
        <f>IF($D17="Forage Crop-Soil Builder Blend",$H17*'Prices_Yields&amp;SeedInputs'!F$28,0)</f>
        <v>0</v>
      </c>
    </row>
    <row r="18" spans="1:285" ht="20" customHeight="1">
      <c r="A18" s="3"/>
      <c r="B18" s="625"/>
      <c r="C18" s="542">
        <v>5</v>
      </c>
      <c r="D18" s="543"/>
      <c r="E18" s="544">
        <v>0</v>
      </c>
      <c r="F18" s="545">
        <f>IF(D18="Livestock Grazing",0,E18)</f>
        <v>0</v>
      </c>
      <c r="G18" s="546">
        <f>IF(D18="Livestock Grazing",0,$I$2*E18)</f>
        <v>0</v>
      </c>
      <c r="H18" s="547">
        <f>$I$2*E18</f>
        <v>0</v>
      </c>
      <c r="I18" s="548">
        <f>SUM(AT18:BQ18)</f>
        <v>0</v>
      </c>
      <c r="J18" s="140"/>
      <c r="M18" s="140"/>
      <c r="N18" s="5" t="s">
        <v>127</v>
      </c>
      <c r="O18" s="200">
        <v>103.90625</v>
      </c>
      <c r="P18" s="200">
        <f>SUM('Farm and Rotation Setup'!HF14:IC18)</f>
        <v>180.27041015624997</v>
      </c>
      <c r="Q18" s="197">
        <f t="shared" si="1"/>
        <v>0.73493327067669145</v>
      </c>
      <c r="R18" s="140"/>
      <c r="S18" s="140"/>
      <c r="T18" s="140"/>
      <c r="V18" s="1">
        <f>IF($D18="SW Winter Wheat after Spring Legume",$H18,0)</f>
        <v>0</v>
      </c>
      <c r="W18" s="1">
        <f>IF($D18="SW Winter Wheat after Forage Crop",$H18,0)</f>
        <v>0</v>
      </c>
      <c r="X18" s="1">
        <f>IF($D18="DN Spring Wheat after Spring Legume",$H18,0)</f>
        <v>0</v>
      </c>
      <c r="Y18" s="1">
        <f>IF($D18="DN Spring Wheat after Forage Crop",$H18,0)</f>
        <v>0</v>
      </c>
      <c r="Z18" s="1">
        <f>IF($D18="DN Spring Wheat after Winter Crop",$H18,0)</f>
        <v>0</v>
      </c>
      <c r="AA18" s="1">
        <f>IF($D18="Chickpea after Forage Crop",$H18,0)</f>
        <v>0</v>
      </c>
      <c r="AB18" s="1">
        <f>IF($D18="Chickpea after Cereal",$H18,0)</f>
        <v>0</v>
      </c>
      <c r="AC18" s="1">
        <f>IF($D18="Spring Pea after Cereal",$H18,0)</f>
        <v>0</v>
      </c>
      <c r="AD18" s="1">
        <f>IF($D18="Forage Crop-St. John Area",$H18,0)</f>
        <v>0</v>
      </c>
      <c r="AE18" s="1">
        <f>IF($D18="Forage Crop-Genesee Area",$H18,0)</f>
        <v>0</v>
      </c>
      <c r="AF18" s="1">
        <f>IF($D18="Livestock Grazing",$H18,0)</f>
        <v>0</v>
      </c>
      <c r="AG18" s="1">
        <f>IF($D18="SW Winter Wheat after Cereal",$H18,0)</f>
        <v>0</v>
      </c>
      <c r="AH18" s="1">
        <f>IF($D18="SW Winter Wheat after Fallow",$H18,0)</f>
        <v>0</v>
      </c>
      <c r="AI18" s="1">
        <f>IF($D18="Chem-Fallow",$H18,0)</f>
        <v>0</v>
      </c>
      <c r="AJ18" s="1">
        <f>IF($D18="Flex-Fallow",$H18,0)</f>
        <v>0</v>
      </c>
      <c r="AK18" s="1">
        <f>IF($D18="Spring Barley",$H18,0)</f>
        <v>0</v>
      </c>
      <c r="AL18" s="1">
        <f>IF($D18="Roundup Ready Spring Canola",$H18,0)</f>
        <v>0</v>
      </c>
      <c r="AM18" s="1">
        <f>IF($D18="Spring Canola",$H18,0)</f>
        <v>0</v>
      </c>
      <c r="AN18" s="1">
        <f>IF($D18="Spring Lentils",$H18,0)</f>
        <v>0</v>
      </c>
      <c r="AO18" s="1">
        <f>IF($D18="SW Spring Wheat",$H18,0)</f>
        <v>0</v>
      </c>
      <c r="AP18" s="1">
        <f>IF($D18="HR Winter Wheat",$H18,0)</f>
        <v>0</v>
      </c>
      <c r="AQ18" s="1">
        <f>IF($D18="Winter Pea",$H18,0)</f>
        <v>0</v>
      </c>
      <c r="AR18" s="1">
        <f>IF($D18="Winter Canola",$H18,0)</f>
        <v>0</v>
      </c>
      <c r="AS18" s="322">
        <f>IF($D18="Forage Crop-Soil Builder Blend",$H18,0)</f>
        <v>0</v>
      </c>
      <c r="AT18" s="1">
        <f>IF($D18="SW Winter Wheat after Spring Legume",SWWinterWheatAfterSpringLegume!$H$138,0)</f>
        <v>0</v>
      </c>
      <c r="AU18" s="1">
        <f>IF($D18="SW Winter Wheat after Forage Crop",SWWinterWheatAfterForageCrop!$H$138,0)</f>
        <v>0</v>
      </c>
      <c r="AV18" s="1">
        <f>IF($D18="DN Spring Wheat after Spring Legume",DNSpringWinterAfterSpringLegume!$H$138,0)</f>
        <v>0</v>
      </c>
      <c r="AW18" s="1">
        <f>IF($D18="DN Spring Wheat after Forage Crop",DNSpringWheatAfterForageCrop!$H$138,0)</f>
        <v>0</v>
      </c>
      <c r="AX18" s="1">
        <f>IF($D18="DN Spring Wheat after Winter Crop",DNSpringWheatAfterWinterCrop!$H$138,0)</f>
        <v>0</v>
      </c>
      <c r="AY18" s="1">
        <f>IF($D18="Chickpea after Forage Crop",ChickpeaAfterForageCrop!$H$138,0)</f>
        <v>0</v>
      </c>
      <c r="AZ18" s="1">
        <f>IF($D18="Chickpea after Cereal",ChickpeaAfterCereal!$H$138,0)</f>
        <v>0</v>
      </c>
      <c r="BA18" s="1">
        <f>IF($D18="Spring Pea after Cereal",SpringPeaAfterCereal!$H$138,0)</f>
        <v>0</v>
      </c>
      <c r="BB18" s="1">
        <f>IF($D18="Forage Crop-St. John Area",'ForageCrop-StJohn'!$H$138,0)</f>
        <v>0</v>
      </c>
      <c r="BC18" s="1">
        <f>IF($D18="Forage Crop-Genesee Area",'ForageCrop-Genesee'!$H$138,0)</f>
        <v>0</v>
      </c>
      <c r="BD18" s="1">
        <f>IF($D18="Livestock Grazing",LivestockGrazing!$H$138,0)</f>
        <v>0</v>
      </c>
      <c r="BE18" s="1">
        <f>IF($D18="SW Winter Wheat after Cereal",SWWinterWheatafterCereal!$H$138,0)</f>
        <v>0</v>
      </c>
      <c r="BF18" s="1">
        <f>IF($D18="SW Winter Wheat after Fallow",SWWinterWheatAfterFallow!$H$138,0)</f>
        <v>0</v>
      </c>
      <c r="BG18" s="1">
        <f>IF($D18="Chem-Fallow",'Chem-Fallow'!$H$138,0)</f>
        <v>0</v>
      </c>
      <c r="BH18" s="1">
        <f>IF($D18="Flex-Fallow",'Flex-Fallow'!$H$138,0)</f>
        <v>0</v>
      </c>
      <c r="BI18" s="1">
        <f>IF($D18="Spring Barley",SpringBarley!$H$138,0)</f>
        <v>0</v>
      </c>
      <c r="BJ18" s="1">
        <f>IF($D18="Roundup Ready Spring Canola",'SpringCanola_R-Ready'!$H$138,0)</f>
        <v>0</v>
      </c>
      <c r="BK18" s="1">
        <f>IF($D18="Spring Canola",SpringCanola!$H$138,0)</f>
        <v>0</v>
      </c>
      <c r="BL18" s="1">
        <f>IF($D18="Spring Lentils",SpringLentils!$H$138,0)</f>
        <v>0</v>
      </c>
      <c r="BM18" s="1">
        <f>IF($D18="SW Spring Wheat",SWSpringWheat!$H$138,0)</f>
        <v>0</v>
      </c>
      <c r="BN18" s="1">
        <f>IF($D18="HR Winter Wheat",HRWinterWheat!$H$138,0)</f>
        <v>0</v>
      </c>
      <c r="BO18" s="1">
        <f>IF($D18="Winter Pea",WinterPea!$H$138,0)</f>
        <v>0</v>
      </c>
      <c r="BP18" s="1">
        <f>IF($D18="Winter Canola",WinterCanola!$H$138,0)</f>
        <v>0</v>
      </c>
      <c r="BQ18" s="322">
        <f>IF($D18="Forage Crop-Soil Builder Blend",ForageCrop!$H$138,0)</f>
        <v>0</v>
      </c>
      <c r="BR18" s="1">
        <f>IF($D18="SW Winter Wheat after Spring Legume",H18*SWWinterWheatAfterSpringLegume!$H$138,0)</f>
        <v>0</v>
      </c>
      <c r="BS18" s="1">
        <f>IF($D18="SW Winter Wheat after Forage Crop",H18*SWWinterWheatAfterForageCrop!$H$138,0)</f>
        <v>0</v>
      </c>
      <c r="BT18" s="1">
        <f>IF($D18="DN Spring Wheat after Spring Legume",H18*DNSpringWinterAfterSpringLegume!$H$138,0)</f>
        <v>0</v>
      </c>
      <c r="BU18" s="1">
        <f>IF($D18="DN Spring Wheat after Forage Crop",H18*DNSpringWheatAfterForageCrop!$H$138,0)</f>
        <v>0</v>
      </c>
      <c r="BV18" s="1">
        <f>IF($D18="DN Spring Wheat after Winter Crop",H18*DNSpringWheatAfterWinterCrop!$H$138,0)</f>
        <v>0</v>
      </c>
      <c r="BW18" s="1">
        <f>IF($D18="Chickpea after Forage Crop",H18*ChickpeaAfterForageCrop!$H$138,0)</f>
        <v>0</v>
      </c>
      <c r="BX18" s="1">
        <f>IF($D18="Chickpea after Cereal",H18*ChickpeaAfterCereal!$H$138,0)</f>
        <v>0</v>
      </c>
      <c r="BY18" s="1">
        <f>IF($D18="Spring Pea after Cereal",H18*SpringPeaAfterCereal!$H$138,0)</f>
        <v>0</v>
      </c>
      <c r="BZ18" s="1">
        <f>IF($D18="Forage Crop-St. John Area",H18*'ForageCrop-StJohn'!$H$138,0)</f>
        <v>0</v>
      </c>
      <c r="CA18" s="1">
        <f>IF($D18="Forage Crop-Genesee Area",H18*'ForageCrop-Genesee'!$H$138,0)</f>
        <v>0</v>
      </c>
      <c r="CB18" s="1">
        <f>IF($D18="Livestock Grazing",H18*LivestockGrazing!$H$138,0)</f>
        <v>0</v>
      </c>
      <c r="CC18" s="1">
        <f>IF($D18="SW Winter Wheat after Cereal",H18*SWWinterWheatafterCereal!$H$138,0)</f>
        <v>0</v>
      </c>
      <c r="CD18" s="1">
        <f>IF($D18="SW Winter Wheat after Fallow",H18*SWWinterWheatAfterFallow!$H$138,0)</f>
        <v>0</v>
      </c>
      <c r="CE18" s="1">
        <f>IF($D18="Chem-Fallow",H18*'Chem-Fallow'!$H$138,0)</f>
        <v>0</v>
      </c>
      <c r="CF18" s="1">
        <f>IF($D18="Flex-Fallow",H18*'Flex-Fallow'!$H$138,0)</f>
        <v>0</v>
      </c>
      <c r="CG18" s="1">
        <f>IF($D18="Spring Barley",H18*SpringBarley!$H$138,0)</f>
        <v>0</v>
      </c>
      <c r="CH18" s="1">
        <f>IF($D18="Roundup Ready Spring Canola",H18*'SpringCanola_R-Ready'!$H$138,0)</f>
        <v>0</v>
      </c>
      <c r="CI18" s="1">
        <f>IF($D18="Spring Canola",H18*SpringCanola!$H$138,0)</f>
        <v>0</v>
      </c>
      <c r="CJ18" s="1">
        <f>IF($D18="Spring Lentils",H18*SpringLentils!$H$138,0)</f>
        <v>0</v>
      </c>
      <c r="CK18" s="1">
        <f>IF($D18="SW Spring Wheat",H18*SWSpringWheat!$H$138,0)</f>
        <v>0</v>
      </c>
      <c r="CL18" s="1">
        <f>IF($D18="HR Winter Wheat",H18*HRWinterWheat!$H$138,0)</f>
        <v>0</v>
      </c>
      <c r="CM18" s="1">
        <f>IF($D18="Winter Pea",H18*WinterPea!$H$138,0)</f>
        <v>0</v>
      </c>
      <c r="CN18" s="1">
        <f>IF($D18="Winter Canola",H18*WinterCanola!$H$138,0)</f>
        <v>0</v>
      </c>
      <c r="CO18" s="322">
        <f>IF($D18="Forage Crop-Soil Builder Blend",H18*ForageCrop!$H$138,0)</f>
        <v>0</v>
      </c>
      <c r="CP18" s="1">
        <f>IF($D18="SW Winter Wheat after Spring Legume",H18*'Prices_Yields&amp;SeedInputs'!J$5,0)</f>
        <v>0</v>
      </c>
      <c r="CQ18" s="1">
        <f>IF($D18="SW Winter Wheat after Forage Crop",H18*'Prices_Yields&amp;SeedInputs'!J$6,0)</f>
        <v>0</v>
      </c>
      <c r="CR18" s="1">
        <f>IF($D18="DN Spring Wheat after Spring Legume",H18*'Prices_Yields&amp;SeedInputs'!J$7,0)</f>
        <v>0</v>
      </c>
      <c r="CS18" s="1">
        <f>IF($D18="DN Spring Wheat after Forage Crop",H18*'Prices_Yields&amp;SeedInputs'!J$8,0)</f>
        <v>0</v>
      </c>
      <c r="CT18" s="1">
        <f>IF($D18="DN Spring Wheat after Winter Crop",H18*'Prices_Yields&amp;SeedInputs'!J$9,0)</f>
        <v>0</v>
      </c>
      <c r="CU18" s="1">
        <f>IF($D18="Chickpea after Forage Crop",H18*'Prices_Yields&amp;SeedInputs'!J$10,0)</f>
        <v>0</v>
      </c>
      <c r="CV18" s="1">
        <f>IF($D18="Chickpea after Cereal",H18*'Prices_Yields&amp;SeedInputs'!J$11,0)</f>
        <v>0</v>
      </c>
      <c r="CW18" s="1">
        <f>IF($D18="Spring Pea after Cereal",H18*'Prices_Yields&amp;SeedInputs'!J$12,0)</f>
        <v>0</v>
      </c>
      <c r="CX18" s="1">
        <f>IF($D18="Forage Crop-St. John Area",H18*'Prices_Yields&amp;SeedInputs'!J$13,0)</f>
        <v>0</v>
      </c>
      <c r="CY18" s="1">
        <f>IF($D18="Forage Crop-Genesee Area",H18*'Prices_Yields&amp;SeedInputs'!J$14,0)</f>
        <v>0</v>
      </c>
      <c r="CZ18" s="1">
        <f>IF($D18="Livestock Grazing",H18*'Prices_Yields&amp;SeedInputs'!J$15,0)</f>
        <v>0</v>
      </c>
      <c r="DA18" s="1">
        <f>IF($D18="SW Winter Wheat after Cereal",H18*'Prices_Yields&amp;SeedInputs'!J$16,0)</f>
        <v>0</v>
      </c>
      <c r="DB18" s="1">
        <f>IF($D18="SW Winter Wheat after Fallow",H18*'Prices_Yields&amp;SeedInputs'!J$17,0)</f>
        <v>0</v>
      </c>
      <c r="DC18" s="1">
        <f>IF($D18="Chem-Fallow",H18*'Prices_Yields&amp;SeedInputs'!J$18,0)</f>
        <v>0</v>
      </c>
      <c r="DD18" s="1">
        <f>IF($D18="Flex-Fallow",H18*'Prices_Yields&amp;SeedInputs'!J$19,0)</f>
        <v>0</v>
      </c>
      <c r="DE18" s="1">
        <f>IF($D18="Spring Barley",H18*'Prices_Yields&amp;SeedInputs'!J$20,0)</f>
        <v>0</v>
      </c>
      <c r="DF18" s="1">
        <f>IF($D18="Roundup Ready Spring Canola",H18*'Prices_Yields&amp;SeedInputs'!J$21,0)</f>
        <v>0</v>
      </c>
      <c r="DG18" s="1">
        <f>IF($D18="Spring Canola",H18*'Prices_Yields&amp;SeedInputs'!J$22,0)</f>
        <v>0</v>
      </c>
      <c r="DH18" s="1">
        <f>IF($D18="Spring Lentils",H18*'Prices_Yields&amp;SeedInputs'!J$23,0)</f>
        <v>0</v>
      </c>
      <c r="DI18" s="1">
        <f>IF($D18="SW Spring Wheat",H18*'Prices_Yields&amp;SeedInputs'!J$24,0)</f>
        <v>0</v>
      </c>
      <c r="DJ18" s="1">
        <f>IF($D18="HR Winter Wheat",H18*'Prices_Yields&amp;SeedInputs'!J$25,0)</f>
        <v>0</v>
      </c>
      <c r="DK18" s="1">
        <f>IF($D18="Winter Pea",H18*'Prices_Yields&amp;SeedInputs'!J$26,0)</f>
        <v>0</v>
      </c>
      <c r="DL18" s="1">
        <f>IF($D18="Winter Canola",H18*'Prices_Yields&amp;SeedInputs'!J$27,0)</f>
        <v>0</v>
      </c>
      <c r="DM18" s="322">
        <f>IF($D18="Forage Crop-Soil Builder Blend",H18*'Prices_Yields&amp;SeedInputs'!J$28,0)</f>
        <v>0</v>
      </c>
      <c r="DN18" s="1">
        <f>IF($D18="SW Winter Wheat after Spring Legume",$H18*SWWinterWheatAfterSpringLegume!$H$135,0)</f>
        <v>0</v>
      </c>
      <c r="DO18" s="1">
        <f>IF($D18="SW Winter Wheat after Forage Crop",$H18*SWWinterWheatAfterForageCrop!$H$135,0)</f>
        <v>0</v>
      </c>
      <c r="DP18" s="1">
        <f>IF($D18="DN Spring Wheat after Spring Legume",$H18*DNSpringWinterAfterSpringLegume!$H$135,0)</f>
        <v>0</v>
      </c>
      <c r="DQ18" s="1">
        <f>IF($D18="DN Spring Wheat after Forage Crop",$H18*DNSpringWheatAfterForageCrop!$H$135,0)</f>
        <v>0</v>
      </c>
      <c r="DR18" s="1">
        <f>IF($D18="DN Spring Wheat after Winter Crop",$H18*DNSpringWheatAfterWinterCrop!$H$135,0)</f>
        <v>0</v>
      </c>
      <c r="DS18" s="1">
        <f>IF($D18="Chickpea after Forage Crop",$H18*ChickpeaAfterForageCrop!$H$135,0)</f>
        <v>0</v>
      </c>
      <c r="DT18" s="1">
        <f>IF($D18="Chickpea after Cereal",$H18*ChickpeaAfterCereal!$H$135,0)</f>
        <v>0</v>
      </c>
      <c r="DU18" s="1">
        <f>IF($D18="Spring Pea after Cereal",$H18*SpringPeaAfterCereal!$H$135,0)</f>
        <v>0</v>
      </c>
      <c r="DV18" s="1">
        <f>IF($D18="Forage Crop-St. John Area",$H18*'ForageCrop-StJohn'!$H$135,0)</f>
        <v>0</v>
      </c>
      <c r="DW18" s="1">
        <f>IF($D18="Forage Crop-Genesee Area",$H18*'ForageCrop-Genesee'!$H$135,0)</f>
        <v>0</v>
      </c>
      <c r="DX18" s="1">
        <f>IF($D18="Livestock Grazing",$H18*LivestockGrazing!$H$135,0)</f>
        <v>0</v>
      </c>
      <c r="DY18" s="1">
        <f>IF($D18="SW Winter Wheat after Cereal",$H18*SWWinterWheatafterCereal!$H$135,0)</f>
        <v>0</v>
      </c>
      <c r="DZ18" s="1">
        <f>IF($D18="SW Winter Wheat after Fallow",$H18*SWWinterWheatAfterFallow!$H$135,0)</f>
        <v>0</v>
      </c>
      <c r="EA18" s="1">
        <f>IF($D18="Chem-Fallow",$H18*'Chem-Fallow'!$H$135,0)</f>
        <v>0</v>
      </c>
      <c r="EB18" s="1">
        <f>IF($D18="Flex-Fallow",$H18*'Flex-Fallow'!$H$135,0)</f>
        <v>0</v>
      </c>
      <c r="EC18" s="1">
        <f>IF($D18="Spring Barley",$H18*SpringBarley!$H$135,0)</f>
        <v>0</v>
      </c>
      <c r="ED18" s="1">
        <f>IF($D18="Roundup Ready Spring Canola",$H18*'SpringCanola_R-Ready'!$H$135,0)</f>
        <v>0</v>
      </c>
      <c r="EE18" s="1">
        <f>IF($D18="Spring Canola",$H18*SpringCanola!$H$135,0)</f>
        <v>0</v>
      </c>
      <c r="EF18" s="1">
        <f>IF($D18="Spring Lentils",$H18*SpringLentils!$H$135,0)</f>
        <v>0</v>
      </c>
      <c r="EG18" s="1">
        <f>IF($D18="SW Spring Wheat",$H18*SWSpringWheat!$H$135,0)</f>
        <v>0</v>
      </c>
      <c r="EH18" s="1">
        <f>IF($D18="HR Winter Wheat",$H18*HRWinterWheat!$H$135,0)</f>
        <v>0</v>
      </c>
      <c r="EI18" s="1">
        <f>IF($D18="Winter Pea",$H18*WinterPea!$H$135,0)</f>
        <v>0</v>
      </c>
      <c r="EJ18" s="1">
        <f>IF($D18="Winter Canola",$H18*WinterCanola!$H$135,0)</f>
        <v>0</v>
      </c>
      <c r="EK18" s="322">
        <f>IF($D18="Forage Crop-Soil Builder Blend",$H18*ForageCrop!$H$135,0)</f>
        <v>0</v>
      </c>
      <c r="EL18" s="1">
        <f>IF($D18="SW Winter Wheat after Spring Legume",$H18*SWWinterWheatAfterSpringLegume!$J$116,0)</f>
        <v>0</v>
      </c>
      <c r="EM18" s="1">
        <f>IF($D18="SW Winter Wheat after Forage Crop",$H18*SWWinterWheatAfterForageCrop!$J$116,0)</f>
        <v>0</v>
      </c>
      <c r="EN18" s="1">
        <f>IF($D18="DN Spring Wheat after Spring Legume",$H18*DNSpringWinterAfterSpringLegume!$J$116,0)</f>
        <v>0</v>
      </c>
      <c r="EO18" s="1">
        <f>IF($D18="DN Spring Wheat after Forage Crop",$H18*DNSpringWheatAfterForageCrop!$J$116,0)</f>
        <v>0</v>
      </c>
      <c r="EP18" s="1">
        <f>IF($D18="DN Spring Wheat after Winter Crop",$H18*DNSpringWheatAfterWinterCrop!$J$116,0)</f>
        <v>0</v>
      </c>
      <c r="EQ18" s="1">
        <f>IF($D18="Chickpea after Forage Crop",$H18*ChickpeaAfterForageCrop!$J$116,0)</f>
        <v>0</v>
      </c>
      <c r="ER18" s="1">
        <f>IF($D18="Chickpea after Cereal",$H18*ChickpeaAfterCereal!$J$116,0)</f>
        <v>0</v>
      </c>
      <c r="ES18" s="1">
        <f>IF($D18="Spring Pea after Cereal",$H18*SpringPeaAfterCereal!$J$116,0)</f>
        <v>0</v>
      </c>
      <c r="ET18" s="1">
        <f>IF($D18="Forage Crop-St. John Area",$H18*'ForageCrop-StJohn'!$J$116,0)</f>
        <v>0</v>
      </c>
      <c r="EU18" s="1">
        <f>IF($D18="Forage Crop-Genesee Area",$H18*'ForageCrop-Genesee'!$J$116,0)</f>
        <v>0</v>
      </c>
      <c r="EV18" s="1">
        <f>IF($D18="Livestock Grazing",$H18*LivestockGrazing!$J$116,0)</f>
        <v>0</v>
      </c>
      <c r="EW18" s="1">
        <f>IF($D18="SW Winter Wheat after Cereal",$H18*SWWinterWheatafterCereal!$J$116,0)</f>
        <v>0</v>
      </c>
      <c r="EX18" s="1">
        <f>IF($D18="SW Winter Wheat after Fallow",$H18*SWWinterWheatAfterFallow!$J$116,0)</f>
        <v>0</v>
      </c>
      <c r="EY18" s="1">
        <f>IF($D18="Chem-Fallow",$H18*'Chem-Fallow'!$J$116,0)</f>
        <v>0</v>
      </c>
      <c r="EZ18" s="1">
        <f>IF($D18="Flex-Fallow",$H18*'Flex-Fallow'!$J$116,0)</f>
        <v>0</v>
      </c>
      <c r="FA18" s="1">
        <f>IF($D18="Spring Barley",$H18*SpringBarley!$J$116,0)</f>
        <v>0</v>
      </c>
      <c r="FB18" s="1">
        <f>IF($D18="Roundup Ready Spring Canola",$H18*'SpringCanola_R-Ready'!$J$116,0)</f>
        <v>0</v>
      </c>
      <c r="FC18" s="1">
        <f>IF($D18="Spring Canola",$H18*SpringCanola!$J$116,0)</f>
        <v>0</v>
      </c>
      <c r="FD18" s="1">
        <f>IF($D18="Spring Lentils",$H18*SpringLentils!$J$116,0)</f>
        <v>0</v>
      </c>
      <c r="FE18" s="1">
        <f>IF($D18="SW Spring Wheat",$H18*SWSpringWheat!$J$116,0)</f>
        <v>0</v>
      </c>
      <c r="FF18" s="1">
        <f>IF($D18="HR Winter Wheat",$H18*HRWinterWheat!$J$116,0)</f>
        <v>0</v>
      </c>
      <c r="FG18" s="1">
        <f>IF($D18="Winter Pea",$H18*WinterPea!$J$116,0)</f>
        <v>0</v>
      </c>
      <c r="FH18" s="1">
        <f>IF($D18="Winter Canola",$H18*WinterCanola!$J$116,0)</f>
        <v>0</v>
      </c>
      <c r="FI18" s="322">
        <f>IF($D18="Forage Crop-Soil Builder Blend",$H18*ForageCrop!$J$116,0)</f>
        <v>0</v>
      </c>
      <c r="FJ18" s="1">
        <f>IF($D18="SW Winter Wheat after Spring Legume",$H18*SWWinterWheatAfterSpringLegume!$J$117,0)</f>
        <v>0</v>
      </c>
      <c r="FK18" s="1">
        <f>IF($D18="SW Winter Wheat after Forage Crop",$H18*SWWinterWheatAfterForageCrop!$J$117,0)</f>
        <v>0</v>
      </c>
      <c r="FL18" s="1">
        <f>IF($D18="DN Spring Wheat after Spring Legume",$H18*DNSpringWinterAfterSpringLegume!$J$117,0)</f>
        <v>0</v>
      </c>
      <c r="FM18" s="1">
        <f>IF($D18="DN Spring Wheat after Forage Crop",$H18*DNSpringWheatAfterForageCrop!$J$117,0)</f>
        <v>0</v>
      </c>
      <c r="FN18" s="1">
        <f>IF($D18="DN Spring Wheat after Winter Crop",$H18*DNSpringWheatAfterWinterCrop!$J$117,0)</f>
        <v>0</v>
      </c>
      <c r="FO18" s="1">
        <f>IF($D18="Chickpea after Forage Crop",$H18*ChickpeaAfterForageCrop!$J$117,0)</f>
        <v>0</v>
      </c>
      <c r="FP18" s="1">
        <f>IF($D18="Chickpea after Cereal",$H18*ChickpeaAfterCereal!$J$117,0)</f>
        <v>0</v>
      </c>
      <c r="FQ18" s="1">
        <f>IF($D18="Spring Pea after Cereal",$H18*SpringPeaAfterCereal!$J$117,0)</f>
        <v>0</v>
      </c>
      <c r="FR18" s="1">
        <f>IF($D18="Forage Crop-St. John Area",$H18*'ForageCrop-StJohn'!$J$117,0)</f>
        <v>0</v>
      </c>
      <c r="FS18" s="1">
        <f>IF($D18="Forage Crop-Genesee Area",$H18*'ForageCrop-Genesee'!$J$117,0)</f>
        <v>0</v>
      </c>
      <c r="FT18" s="1">
        <f>IF($D18="Livestock Grazing",$H18*LivestockGrazing!$J$117,0)</f>
        <v>0</v>
      </c>
      <c r="FU18" s="1">
        <f>IF($D18="SW Winter Wheat after Cereal",$H18*SWWinterWheatafterCereal!$J$117,0)</f>
        <v>0</v>
      </c>
      <c r="FV18" s="1">
        <f>IF($D18="SW Winter Wheat after Fallow",$H18*SWWinterWheatAfterFallow!$J$117,0)</f>
        <v>0</v>
      </c>
      <c r="FW18" s="1">
        <f>IF($D18="Chem-Fallow",$H18*'Chem-Fallow'!$J$117,0)</f>
        <v>0</v>
      </c>
      <c r="FX18" s="1">
        <f>IF($D18="Flex-Fallow",$H18*'Flex-Fallow'!$J$117,0)</f>
        <v>0</v>
      </c>
      <c r="FY18" s="1">
        <f>IF($D18="Spring Barley",$H18*SpringBarley!$J$117,0)</f>
        <v>0</v>
      </c>
      <c r="FZ18" s="1">
        <f>IF($D18="Roundup Ready Spring Canola",$H18*'SpringCanola_R-Ready'!$J$117,0)</f>
        <v>0</v>
      </c>
      <c r="GA18" s="1">
        <f>IF($D18="Spring Canola",$H18*SpringCanola!$J$117,0)</f>
        <v>0</v>
      </c>
      <c r="GB18" s="1">
        <f>IF($D18="Spring Lentils",$H18*SpringLentils!$J$117,0)</f>
        <v>0</v>
      </c>
      <c r="GC18" s="1">
        <f>IF($D18="SW Spring Wheat",$H18*SWSpringWheat!$J$117,0)</f>
        <v>0</v>
      </c>
      <c r="GD18" s="1">
        <f>IF($D18="HR Winter Wheat",$H18*HRWinterWheat!$J$117,0)</f>
        <v>0</v>
      </c>
      <c r="GE18" s="1">
        <f>IF($D18="Winter Pea",$H18*WinterPea!$J$117,0)</f>
        <v>0</v>
      </c>
      <c r="GF18" s="1">
        <f>IF($D18="Winter Canola",$H18*WinterCanola!$J$117,0)</f>
        <v>0</v>
      </c>
      <c r="GG18" s="322">
        <f>IF($D18="Forage Crop-Soil Builder Blend",$H18*ForageCrop!$J$117,0)</f>
        <v>0</v>
      </c>
      <c r="GH18" s="1">
        <f>IF($D18="SW Winter Wheat after Spring Legume",$H18*SWWinterWheatAfterSpringLegume!$L$118,0)</f>
        <v>0</v>
      </c>
      <c r="GI18" s="1">
        <f>IF($D18="SW Winter Wheat after Forage Crop",$H18*SWWinterWheatAfterForageCrop!$L$118,0)</f>
        <v>0</v>
      </c>
      <c r="GJ18" s="1">
        <f>IF($D18="DN Spring Wheat after Spring Legume",$H18*DNSpringWinterAfterSpringLegume!$L$118,0)</f>
        <v>0</v>
      </c>
      <c r="GK18" s="1">
        <f>IF($D18="DN Spring Wheat after Forage Crop",$H18*DNSpringWheatAfterForageCrop!$L$118,0)</f>
        <v>0</v>
      </c>
      <c r="GL18" s="1">
        <f>IF($D18="DN Spring Wheat after Winter Crop",$H18*DNSpringWheatAfterWinterCrop!$L$118,0)</f>
        <v>0</v>
      </c>
      <c r="GM18" s="1">
        <f>IF($D18="Chickpea after Forage Crop",$H18*ChickpeaAfterForageCrop!$L$118,0)</f>
        <v>0</v>
      </c>
      <c r="GN18" s="1">
        <f>IF($D18="Chickpea after Cereal",$H18*ChickpeaAfterCereal!$L$118,0)</f>
        <v>0</v>
      </c>
      <c r="GO18" s="1">
        <f>IF($D18="Spring Pea after Cereal",$H18*SpringPeaAfterCereal!$L$118,0)</f>
        <v>0</v>
      </c>
      <c r="GP18" s="1">
        <f>IF($D18="Forage Crop-St. John Area",$H18*'ForageCrop-StJohn'!$L$118,0)</f>
        <v>0</v>
      </c>
      <c r="GQ18" s="1">
        <f>IF($D18="Forage Crop-Genesee Area",$H18*'ForageCrop-Genesee'!$L$118,0)</f>
        <v>0</v>
      </c>
      <c r="GR18" s="1">
        <f>IF($D18="Livestock Grazing",$H18*LivestockGrazing!$L$118,0)</f>
        <v>0</v>
      </c>
      <c r="GS18" s="1">
        <f>IF($D18="SW Winter Wheat after Cereal",$H18*SWWinterWheatafterCereal!$L$118,0)</f>
        <v>0</v>
      </c>
      <c r="GT18" s="1">
        <f>IF($D18="SW Winter Wheat after Fallow",$H18*SWWinterWheatAfterFallow!$L$118,0)</f>
        <v>0</v>
      </c>
      <c r="GU18" s="1">
        <f>IF($D18="Chem-Fallow",$H18*'Chem-Fallow'!$L$118,0)</f>
        <v>0</v>
      </c>
      <c r="GV18" s="1">
        <f>IF($D18="Flex-Fallow",$H18*'Flex-Fallow'!$L$118,0)</f>
        <v>0</v>
      </c>
      <c r="GW18" s="1">
        <f>IF($D18="Spring Barley",$H18*SpringBarley!$L$118,0)</f>
        <v>0</v>
      </c>
      <c r="GX18" s="1">
        <f>IF($D18="Roundup Ready Spring Canola",$H18*'SpringCanola_R-Ready'!$L$118,0)</f>
        <v>0</v>
      </c>
      <c r="GY18" s="1">
        <f>IF($D18="Spring Canola",$H18*SpringCanola!$L$118,0)</f>
        <v>0</v>
      </c>
      <c r="GZ18" s="1">
        <f>IF($D18="Spring Lentils",$H18*SpringLentils!$L$118,0)</f>
        <v>0</v>
      </c>
      <c r="HA18" s="1">
        <f>IF($D18="SW Spring Wheat",$H18*SWSpringWheat!$L$118,0)</f>
        <v>0</v>
      </c>
      <c r="HB18" s="1">
        <f>IF($D18="HR Winter Wheat",$H18*HRWinterWheat!$L$118,0)</f>
        <v>0</v>
      </c>
      <c r="HC18" s="1">
        <f>IF($D18="Winter Pea",$H18*WinterPea!$L$118,0)</f>
        <v>0</v>
      </c>
      <c r="HD18" s="1">
        <f>IF($D18="Winter Canola",$H18*WinterCanola!$L$118,0)</f>
        <v>0</v>
      </c>
      <c r="HE18" s="322">
        <f>IF($D18="Forage Crop-Soil Builder Blend",$H18*ForageCrop!$L$118,0)</f>
        <v>0</v>
      </c>
      <c r="HF18" s="1">
        <f>IF($D18="SW Winter Wheat after Spring Legume",($H18*(SUM(SWWinterWheatAfterSpringLegume!$E$9:$E$16)+SWWinterWheatAfterSpringLegume!$G$16))/2000,0)</f>
        <v>0</v>
      </c>
      <c r="HG18" s="1">
        <f>IF($D18="SW Winter Wheat after Forage Crop",($H18*(SUM(SWWinterWheatAfterForageCrop!$E$9:$E$16)+SWWinterWheatAfterForageCrop!$G$17))/2000,0)</f>
        <v>0</v>
      </c>
      <c r="HH18" s="1">
        <f>IF($D18="DN Spring Wheat after Spring Legume",($H18*(SUM(DNSpringWinterAfterSpringLegume!$E$9:$E$16)+DNSpringWinterAfterSpringLegume!$G$16))/2000,0)</f>
        <v>0</v>
      </c>
      <c r="HI18" s="1">
        <f>IF($D18="DN Spring Wheat after Forage Crop",($H18*(SUM(DNSpringWheatAfterForageCrop!$E$9:$E$16)+DNSpringWheatAfterForageCrop!$G$14))/2000,0)</f>
        <v>0</v>
      </c>
      <c r="HJ18" s="1">
        <f>IF($D18="DN Spring Wheat after Winter Crop",($H18*(SUM(DNSpringWheatAfterWinterCrop!$E$9:$E$16)+DNSpringWheatAfterWinterCrop!$G$16))/2000,0)</f>
        <v>0</v>
      </c>
      <c r="HK18" s="1">
        <f>IF($D18="Chickpea after Forage Crop",($H18*(SUM(ChickpeaAfterForageCrop!$E$9:$E$16)+ChickpeaAfterForageCrop!$G$14))/2000,0)</f>
        <v>0</v>
      </c>
      <c r="HL18" s="1">
        <f>IF($D18="Chickpea after Cereal",($H18*(SUM(ChickpeaAfterCereal!$E$9:$E$16)+ChickpeaAfterCereal!$G$14))/2000,0)</f>
        <v>0</v>
      </c>
      <c r="HM18" s="1">
        <f>IF($D18="Spring Pea after Cereal",($H18*(SUM(SpringPeaAfterCereal!$E$9:$E$16)+SpringPeaAfterCereal!$G$14))/2000,0)</f>
        <v>0</v>
      </c>
      <c r="HN18" s="1">
        <f>IF($D18="Forage Crop-St. John Area",($H18*(SUM('ForageCrop-StJohn'!$E$9:$E$16)+'ForageCrop-StJohn'!$G$14))/2000,0)</f>
        <v>0</v>
      </c>
      <c r="HO18" s="1">
        <f>IF($D18="Forage Crop-Genesee Area",($H18*(SUM('ForageCrop-Genesee'!$E$9:$E$16)+'ForageCrop-Genesee'!$G$14))/2000,0)</f>
        <v>0</v>
      </c>
      <c r="HP18" s="1">
        <f>IF($D18="Livestock Grazing",($H18*(SUM(LivestockGrazing!$E$9:$E$16)+LivestockGrazing!$G$14))/2000,0)</f>
        <v>0</v>
      </c>
      <c r="HQ18" s="1">
        <f>IF($D18="SW Winter Wheat after Cereal",($H18*(SUM(SWWinterWheatafterCereal!$E$9:$E$16)+SWWinterWheatafterCereal!$G$16))/2000,0)</f>
        <v>0</v>
      </c>
      <c r="HR18" s="1">
        <f>IF($D18="SW Winter Wheat after Fallow",($H18*(SUM(SWWinterWheatAfterFallow!$E$9:$E$16)+SWWinterWheatAfterFallow!$G$14))/2000,0)</f>
        <v>0</v>
      </c>
      <c r="HS18" s="1">
        <f>IF($D18="Chem-Fallow",($H18*(SUM('Chem-Fallow'!$E$9:$E$16)+'Chem-Fallow'!$G$16))/2000,0)</f>
        <v>0</v>
      </c>
      <c r="HT18" s="1">
        <f>IF($D18="Flex-Fallow",($H18*(SUM('Flex-Fallow'!$E$9:$E$16)+'Flex-Fallow'!$G$16))/2000,0)</f>
        <v>0</v>
      </c>
      <c r="HU18" s="1">
        <f>IF($D18="Spring Barley",($H18*(SUM(SpringBarley!$E$9:$E$16)+SpringBarley!$G$16))/2000,0)</f>
        <v>0</v>
      </c>
      <c r="HV18" s="1">
        <f>IF($D18="Roundup Ready Spring Canola",($H18*(SUM('SpringCanola_R-Ready'!$E$9:$E$16)+'SpringCanola_R-Ready'!$G$14))/2000,0)</f>
        <v>0</v>
      </c>
      <c r="HW18" s="1">
        <f>IF($D18="Spring Canola",($H18*(SUM(SpringCanola!$E$9:$E$16)+SpringCanola!$G$14))/2000,0)</f>
        <v>0</v>
      </c>
      <c r="HX18" s="1">
        <f>IF($D18="Spriing Lentils",($H18*(SUM(SpringLentils!$E$9:$E$16)+SpringLentils!$G$14))/2000,0)</f>
        <v>0</v>
      </c>
      <c r="HY18" s="1">
        <f>IF($D18="SW Spring Wheat",($H18*(SUM(SWSpringWheat!$E$9:$E$16)+SWSpringWheat!$G$18))/2000,0)</f>
        <v>0</v>
      </c>
      <c r="HZ18" s="1">
        <f>IF($D18="HR Winter Wheat",($H18*(SUM(HRWinterWheat!$E$9:$E$16)+HRWinterWheat!$G$16))/2000,0)</f>
        <v>0</v>
      </c>
      <c r="IA18" s="1">
        <f>IF($D18="Winter Pea",($H18*(SUM(WinterPea!$E$9:$E$16)+WinterPea!$G$14))/2000,0)</f>
        <v>0</v>
      </c>
      <c r="IB18" s="1">
        <f>IF($D18="Winter Canola",($H18*(SUM(WinterCanola!$E$9:$E$16)+WinterCanola!$G$14))/2000,0)</f>
        <v>0</v>
      </c>
      <c r="IC18" s="322">
        <f>IF($D18="Forage Crop-Soil Builder Blend",($H18*(SUM(ForageCrop!$E$9:$E$16)+ForageCrop!$G$14))/2000,0)</f>
        <v>0</v>
      </c>
      <c r="ID18" s="1">
        <f>IF($D18="SW Winter Wheat after Spring Legume",$H18*SWWinterWheatAfterSpringLegume!$G$62,0)</f>
        <v>0</v>
      </c>
      <c r="IE18" s="1">
        <f>IF($D18="SW Winter Wheat after Forage Crop",$H18*SWWinterWheatAfterForageCrop!$G$62,0)</f>
        <v>0</v>
      </c>
      <c r="IF18" s="1">
        <f>IF($D18="DN Spring Wheat after Spring Legume",$H18*DNSpringWinterAfterSpringLegume!$G$62,0)</f>
        <v>0</v>
      </c>
      <c r="IG18" s="1">
        <f>IF($D18="DN Spring Wheat after Forage Crop",$H18*DNSpringWheatAfterForageCrop!$G$62,0)</f>
        <v>0</v>
      </c>
      <c r="IH18" s="1">
        <f>IF($D18="DN Spring Wheat after Winter Crop",$H18*DNSpringWheatAfterWinterCrop!$G$62,0)</f>
        <v>0</v>
      </c>
      <c r="II18" s="1">
        <f>IF($D18="Chickpea after Forage Crop",$H18*ChickpeaAfterForageCrop!$G$62,0)</f>
        <v>0</v>
      </c>
      <c r="IJ18" s="1">
        <f>IF($D18="Chickpea after Cereal",$H18*ChickpeaAfterCereal!$G$62,0)</f>
        <v>0</v>
      </c>
      <c r="IK18" s="1">
        <f>IF($D18="Spring Pea after Cereal",$H18*SpringPeaAfterCereal!$G$62,0)</f>
        <v>0</v>
      </c>
      <c r="IL18" s="1">
        <f>IF($D18="Forage Crop-St. John Area",$H18*'ForageCrop-StJohn'!$G$62,0)</f>
        <v>0</v>
      </c>
      <c r="IM18" s="1">
        <f>IF($D18="Forage Crop-Genesee Area",$H18*'ForageCrop-Genesee'!$G$62,0)</f>
        <v>0</v>
      </c>
      <c r="IN18" s="1">
        <f>IF($D18="Livestock Grazing",$H18*LivestockGrazing!$G$62,0)</f>
        <v>0</v>
      </c>
      <c r="IO18" s="1">
        <f>IF($D18="SW Winter Wheat after Cereal",$H18*SWWinterWheatafterCereal!$G$62,0)</f>
        <v>0</v>
      </c>
      <c r="IP18" s="1">
        <f>IF($D18="SW Winter Wheat after Fallow",$H18*SWWinterWheatAfterFallow!$G$62,0)</f>
        <v>0</v>
      </c>
      <c r="IQ18" s="1">
        <f>IF($D18="Chem-Fallow",$H18*'Chem-Fallow'!$G$62,0)</f>
        <v>0</v>
      </c>
      <c r="IR18" s="1">
        <f>IF($D18="Flex-Fallow",$H18*'Flex-Fallow'!$G$62,0)</f>
        <v>0</v>
      </c>
      <c r="IS18" s="1">
        <f>IF($D18="Spring Barley",$H18*SpringBarley!$G$62,0)</f>
        <v>0</v>
      </c>
      <c r="IT18" s="1">
        <f>IF($D18="Roundup Ready Spring Canola",$H18*'SpringCanola_R-Ready'!$G$62,0)</f>
        <v>0</v>
      </c>
      <c r="IU18" s="1">
        <f>IF($D18="Spring Canola",$H18*SpringCanola!$G$62,0)</f>
        <v>0</v>
      </c>
      <c r="IV18" s="1">
        <f>IF($D18="Spriing Lentils",$H18*SpringLentils!$G$62,0)</f>
        <v>0</v>
      </c>
      <c r="IW18" s="1">
        <f>IF($D18="SW Spring Wheat",$H18*SWSpringWheat!$G$62,0)</f>
        <v>0</v>
      </c>
      <c r="IX18" s="1">
        <f>IF($D18="HR Winter Wheat",$H18*HRWinterWheat!$G$62,0)</f>
        <v>0</v>
      </c>
      <c r="IY18" s="1">
        <f>IF($D18="Winter Pea",$H18*WinterPea!$G$62,0)</f>
        <v>0</v>
      </c>
      <c r="IZ18" s="1">
        <f>IF($D18="Winter Canola",$H18*+WinterCanola!$G$62,0)</f>
        <v>0</v>
      </c>
      <c r="JA18" s="1">
        <f>IF($D18="Forage Crop-Soil Builder Blend",$H18*ForageCrop!$G$62,0)</f>
        <v>0</v>
      </c>
      <c r="JB18" s="1">
        <f>IF($D18="SW Winter Wheat after Spring Legume",$H18*'Prices_Yields&amp;SeedInputs'!F5,0)</f>
        <v>0</v>
      </c>
      <c r="JC18" s="1">
        <f>IF($D18="SW Winter Wheat after Forage Crop",$H18*'Prices_Yields&amp;SeedInputs'!F6,0)</f>
        <v>0</v>
      </c>
      <c r="JD18" s="1">
        <f>IF($D18="DN Spring Wheat after Spring Legume",$H18*'Prices_Yields&amp;SeedInputs'!F$7,0)</f>
        <v>0</v>
      </c>
      <c r="JE18" s="1">
        <f>IF($D18="DN Spring Wheat after Forage Crop",$H18*'Prices_Yields&amp;SeedInputs'!F$8,0)</f>
        <v>0</v>
      </c>
      <c r="JF18" s="1">
        <f>IF($D18="DN Spring Wheat after Winter Crop",$H18*'Prices_Yields&amp;SeedInputs'!F$9,0)</f>
        <v>0</v>
      </c>
      <c r="JG18" s="1">
        <f>IF($D18="Chickpea after Forage Crop",$H18*'Prices_Yields&amp;SeedInputs'!F$10,0)</f>
        <v>0</v>
      </c>
      <c r="JH18" s="1">
        <f>IF($D18="Chickpea after Cereal",$H18*'Prices_Yields&amp;SeedInputs'!F$11,0)</f>
        <v>0</v>
      </c>
      <c r="JI18" s="1">
        <f>IF($D18="Spring Pea after Cereal",$H18*'Prices_Yields&amp;SeedInputs'!F$12,0)</f>
        <v>0</v>
      </c>
      <c r="JJ18" s="1">
        <f>IF($D18="Forage Crop-St. John Area",$H18*'Prices_Yields&amp;SeedInputs'!F$13,0)</f>
        <v>0</v>
      </c>
      <c r="JK18" s="1">
        <f>IF($D18="Forage Crop-Genesee Area",$H18*'Prices_Yields&amp;SeedInputs'!F$14,0)</f>
        <v>0</v>
      </c>
      <c r="JL18" s="1">
        <f>IF($D18="Livestock Grazing",$H18*'Prices_Yields&amp;SeedInputs'!F$15,0)</f>
        <v>0</v>
      </c>
      <c r="JM18" s="1">
        <f>IF($D18="SW Winter Wheat after Cereal",$H18*'Prices_Yields&amp;SeedInputs'!F$16,0)</f>
        <v>0</v>
      </c>
      <c r="JN18" s="1">
        <f>IF($D18="SW Winter Wheat after Fallow",$H18*'Prices_Yields&amp;SeedInputs'!F$17,0)</f>
        <v>0</v>
      </c>
      <c r="JO18" s="1">
        <f>IF($D18="Chem-Fallow",$H18*'Prices_Yields&amp;SeedInputs'!F$18,0)</f>
        <v>0</v>
      </c>
      <c r="JP18" s="1">
        <f>IF($D18="Flex-Fallow",$H18*'Prices_Yields&amp;SeedInputs'!F$19,0)</f>
        <v>0</v>
      </c>
      <c r="JQ18" s="1">
        <f>IF($D18="Spring Barley",$H18*'Prices_Yields&amp;SeedInputs'!F$20,0)</f>
        <v>0</v>
      </c>
      <c r="JR18" s="1">
        <f>IF($D18="Roundup Ready Spring Canola",$H18*'Prices_Yields&amp;SeedInputs'!F$21,0)</f>
        <v>0</v>
      </c>
      <c r="JS18" s="1">
        <f>IF($D18="Spring Canola",$H18*'Prices_Yields&amp;SeedInputs'!F$22,0)</f>
        <v>0</v>
      </c>
      <c r="JT18" s="1">
        <f>IF($D18="Spriing Lentils",$H18*'Prices_Yields&amp;SeedInputs'!F$23,0)</f>
        <v>0</v>
      </c>
      <c r="JU18" s="1">
        <f>IF($D18="SW Spring Wheat",$H18*'Prices_Yields&amp;SeedInputs'!F$24,0)</f>
        <v>0</v>
      </c>
      <c r="JV18" s="1">
        <f>IF($D18="HR Winter Wheat",$H18*'Prices_Yields&amp;SeedInputs'!F$26,0)</f>
        <v>0</v>
      </c>
      <c r="JW18" s="1">
        <f>IF($D18="Winter Pea",$H18*'Prices_Yields&amp;SeedInputs'!F$26,0)</f>
        <v>0</v>
      </c>
      <c r="JX18" s="1">
        <f>IF($D18="Winter Canola",$H18*'Prices_Yields&amp;SeedInputs'!F$27,0)</f>
        <v>0</v>
      </c>
      <c r="JY18" s="1">
        <f>IF($D18="Forage Crop-Soil Builder Blend",$H18*'Prices_Yields&amp;SeedInputs'!F$28,0)</f>
        <v>0</v>
      </c>
    </row>
    <row r="19" spans="1:285" ht="20" customHeight="1">
      <c r="A19" s="3"/>
      <c r="B19" s="401"/>
      <c r="C19" s="401"/>
      <c r="D19" s="401"/>
      <c r="E19" s="549">
        <f>IF(F19&gt;1,"ERROR",SUM(F14:F18))</f>
        <v>1</v>
      </c>
      <c r="F19" s="550">
        <f>IF(SUM(F14:F18)&gt;1,"ERROR",SUM(F14:F18))</f>
        <v>1</v>
      </c>
      <c r="G19" s="551">
        <f>IF(SUM(G14:G18)&gt;$I$2,"ERROR",SUM(G14:G18))</f>
        <v>2500</v>
      </c>
      <c r="H19" s="552" t="s">
        <v>8</v>
      </c>
      <c r="I19" s="539"/>
      <c r="J19" s="3"/>
      <c r="M19" s="140"/>
      <c r="N19" s="5" t="s">
        <v>130</v>
      </c>
      <c r="O19" s="200">
        <v>2356.73828125</v>
      </c>
      <c r="P19" s="200">
        <f>SUM('Farm and Rotation Setup'!ID14:JA18)</f>
        <v>1412.5</v>
      </c>
      <c r="Q19" s="197">
        <f t="shared" si="1"/>
        <v>-0.40065470517548585</v>
      </c>
      <c r="R19" s="140"/>
      <c r="S19" s="140"/>
      <c r="T19" s="140"/>
      <c r="V19" s="1"/>
      <c r="W19" s="1"/>
      <c r="X19" s="1"/>
      <c r="Y19" s="1"/>
      <c r="Z19" s="1"/>
      <c r="AA19" s="1"/>
      <c r="AB19" s="1"/>
      <c r="AC19" s="1"/>
      <c r="AD19" s="1"/>
      <c r="AE19" s="1"/>
      <c r="AF19" s="1"/>
      <c r="AG19" s="1"/>
      <c r="AH19" s="1"/>
      <c r="AI19" s="1"/>
      <c r="AJ19" s="1"/>
      <c r="AK19" s="1"/>
      <c r="AL19" s="1"/>
      <c r="AM19" s="1"/>
      <c r="AN19" s="1"/>
      <c r="AO19" s="1"/>
      <c r="AP19" s="1"/>
      <c r="AQ19" s="1"/>
      <c r="AR19" s="1"/>
      <c r="AS19" s="322"/>
      <c r="AU19" s="1"/>
      <c r="AV19" s="1"/>
      <c r="AW19" s="1"/>
      <c r="AX19" s="1"/>
      <c r="AY19" s="1"/>
      <c r="AZ19" s="1"/>
      <c r="BA19" s="1"/>
      <c r="BB19" s="1"/>
      <c r="BC19" s="1"/>
      <c r="BD19" s="1"/>
      <c r="BE19" s="240" t="s">
        <v>8</v>
      </c>
      <c r="BF19" s="1"/>
      <c r="BG19" s="1"/>
      <c r="BH19" s="1"/>
      <c r="BI19" s="1"/>
      <c r="BJ19" s="1"/>
      <c r="BK19" s="1"/>
      <c r="BL19" s="1"/>
      <c r="BM19" s="1"/>
      <c r="BN19" s="1"/>
      <c r="BO19" s="1"/>
      <c r="BP19" s="1"/>
      <c r="BQ19" s="322"/>
      <c r="BR19" s="1"/>
      <c r="BS19" s="1"/>
      <c r="BT19" s="1"/>
      <c r="BU19" s="1"/>
      <c r="BV19" s="1"/>
      <c r="BW19" s="1"/>
      <c r="BX19" s="1"/>
      <c r="BY19" s="1"/>
      <c r="BZ19" s="1"/>
      <c r="CA19" s="1"/>
      <c r="CB19" s="1"/>
      <c r="CC19" s="1"/>
      <c r="CD19" s="1"/>
      <c r="CE19" s="1"/>
      <c r="CF19" s="1"/>
      <c r="CG19" s="1"/>
      <c r="CH19" s="1"/>
      <c r="CI19" s="1"/>
      <c r="CJ19" s="1"/>
      <c r="CK19" s="1"/>
      <c r="CL19" s="1"/>
      <c r="CM19" s="1"/>
      <c r="CN19" s="1"/>
      <c r="CO19" s="322"/>
      <c r="CP19" s="1"/>
      <c r="CQ19" s="1"/>
      <c r="CR19" s="1"/>
      <c r="CS19" s="1"/>
      <c r="CT19" s="1"/>
      <c r="CU19" s="1"/>
      <c r="CV19" s="1"/>
      <c r="CW19" s="1"/>
      <c r="CX19" s="1"/>
      <c r="CY19" s="1"/>
      <c r="CZ19" s="1"/>
      <c r="DA19" s="1"/>
      <c r="DB19" s="1"/>
      <c r="DC19" s="1"/>
      <c r="DD19" s="1"/>
      <c r="DE19" s="1"/>
      <c r="DF19" s="1"/>
      <c r="DG19" s="1"/>
      <c r="DH19" s="1"/>
      <c r="DI19" s="1"/>
      <c r="DJ19" s="1"/>
      <c r="DK19" s="1"/>
      <c r="DL19" s="1"/>
      <c r="DM19" s="322"/>
      <c r="DN19" s="1"/>
      <c r="DO19" s="1"/>
      <c r="DP19" s="1"/>
      <c r="DQ19" s="1"/>
      <c r="DR19" s="1"/>
      <c r="DS19" s="1"/>
      <c r="DT19" s="1"/>
      <c r="DU19" s="1"/>
      <c r="DV19" s="1"/>
      <c r="DW19" s="1"/>
      <c r="DX19" s="1"/>
      <c r="DY19" s="1"/>
      <c r="DZ19" s="1"/>
      <c r="EA19" s="1"/>
      <c r="EB19" s="1"/>
      <c r="EC19" s="1"/>
      <c r="ED19" s="1"/>
      <c r="EE19" s="1"/>
      <c r="EF19" s="1"/>
      <c r="EG19" s="1"/>
      <c r="EH19" s="1"/>
      <c r="EI19" s="1"/>
      <c r="EJ19" s="1"/>
      <c r="EK19" s="322"/>
      <c r="EL19" s="1"/>
      <c r="EM19" s="1"/>
      <c r="EN19" s="1"/>
      <c r="EO19" s="1"/>
      <c r="EP19" s="1"/>
      <c r="EQ19" s="1"/>
      <c r="ER19" s="1"/>
      <c r="ES19" s="1"/>
      <c r="ET19" s="1"/>
      <c r="EU19" s="1"/>
      <c r="EV19" s="1"/>
      <c r="EW19" s="1"/>
      <c r="EX19" s="1"/>
      <c r="EY19" s="1"/>
      <c r="EZ19" s="1"/>
      <c r="FA19" s="1"/>
      <c r="FB19" s="1"/>
      <c r="FC19" s="1"/>
      <c r="FD19" s="1"/>
      <c r="FE19" s="1"/>
      <c r="FF19" s="1"/>
      <c r="FG19" s="1"/>
      <c r="FH19" s="1"/>
      <c r="FI19" s="322"/>
      <c r="FJ19" s="1"/>
      <c r="FK19" s="1"/>
      <c r="FL19" s="1"/>
      <c r="FM19" s="1"/>
      <c r="FN19" s="1"/>
      <c r="FO19" s="1"/>
      <c r="FP19" s="1"/>
      <c r="FQ19" s="1"/>
      <c r="FR19" s="1"/>
      <c r="FS19" s="1"/>
      <c r="FT19" s="1"/>
      <c r="FU19" s="1"/>
      <c r="FV19" s="1"/>
      <c r="FW19" s="1"/>
      <c r="FX19" s="1"/>
      <c r="FY19" s="1"/>
      <c r="FZ19" s="1"/>
      <c r="GA19" s="1"/>
      <c r="GB19" s="1"/>
      <c r="GC19" s="1"/>
      <c r="GD19" s="1"/>
      <c r="GE19" s="1"/>
      <c r="GF19" s="1"/>
      <c r="GG19" s="322"/>
      <c r="GH19" s="1"/>
      <c r="GI19" s="1"/>
      <c r="GJ19" s="1"/>
      <c r="GK19" s="1"/>
      <c r="GL19" s="1"/>
      <c r="GM19" s="1"/>
      <c r="GN19" s="1"/>
      <c r="GO19" s="1"/>
      <c r="GP19" s="1"/>
      <c r="GQ19" s="1"/>
      <c r="GR19" s="1"/>
      <c r="GS19" s="1"/>
      <c r="GT19" s="1"/>
      <c r="GU19" s="1"/>
      <c r="GV19" s="1"/>
      <c r="GW19" s="1"/>
      <c r="GX19" s="1"/>
      <c r="GY19" s="1"/>
      <c r="GZ19" s="1"/>
      <c r="HA19" s="1"/>
      <c r="HB19" s="1"/>
      <c r="HC19" s="1"/>
      <c r="HD19" s="1"/>
      <c r="HE19" s="322"/>
      <c r="HF19" s="1"/>
      <c r="HG19" s="1"/>
      <c r="HH19" s="1"/>
      <c r="HI19" s="1"/>
      <c r="HJ19" s="1"/>
      <c r="HK19" s="1"/>
      <c r="HL19" s="1"/>
      <c r="HM19" s="1"/>
      <c r="HN19" s="1"/>
      <c r="HO19" s="1"/>
      <c r="HP19" s="1"/>
      <c r="HQ19" s="203"/>
      <c r="HR19" s="1"/>
      <c r="HS19" s="1"/>
      <c r="HT19" s="1"/>
      <c r="HU19" s="1"/>
      <c r="HV19" s="1"/>
      <c r="HW19" s="1"/>
      <c r="HX19" s="1"/>
      <c r="HY19" s="1"/>
      <c r="HZ19" s="1"/>
      <c r="IA19" s="1"/>
      <c r="IB19" s="1"/>
      <c r="IC19" s="322"/>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row>
    <row r="20" spans="1:285" ht="20" customHeight="1">
      <c r="A20" s="3" t="s">
        <v>301</v>
      </c>
      <c r="B20" s="3"/>
      <c r="C20" s="3"/>
      <c r="D20" s="3"/>
      <c r="E20" s="192"/>
      <c r="F20" s="305"/>
      <c r="G20" s="241"/>
      <c r="H20" s="309"/>
      <c r="I20" s="140"/>
      <c r="J20" s="3"/>
      <c r="M20" s="140"/>
      <c r="N20" s="5" t="s">
        <v>113</v>
      </c>
      <c r="O20" s="200">
        <v>1111.7235331632655</v>
      </c>
      <c r="P20" s="200">
        <f>SUM('Farm and Rotation Setup'!EL14:FI18)/MachineAssumptions!$D$30</f>
        <v>2010.3561536107013</v>
      </c>
      <c r="Q20" s="197">
        <f t="shared" si="1"/>
        <v>0.80832382659966984</v>
      </c>
      <c r="R20" s="140"/>
      <c r="S20" s="140"/>
      <c r="T20" s="140"/>
      <c r="V20" s="1"/>
      <c r="W20" s="1"/>
      <c r="X20" s="1"/>
      <c r="Y20" s="1"/>
      <c r="Z20" s="1"/>
      <c r="AA20" s="1"/>
      <c r="AB20" s="1"/>
      <c r="AC20" s="1"/>
      <c r="AD20" s="1"/>
      <c r="AE20" s="1"/>
      <c r="AF20" s="1"/>
      <c r="AG20" s="1"/>
      <c r="AH20" s="1"/>
      <c r="AI20" s="1"/>
      <c r="AJ20" s="1"/>
      <c r="AK20" s="1"/>
      <c r="AL20" s="1"/>
      <c r="AM20" s="1"/>
      <c r="AN20" s="1"/>
      <c r="AO20" s="1"/>
      <c r="AP20" s="1"/>
      <c r="AQ20" s="1"/>
      <c r="AR20" s="1"/>
      <c r="AS20" s="322"/>
      <c r="AU20" s="1"/>
      <c r="AV20" s="1"/>
      <c r="AW20" s="1"/>
      <c r="AX20" s="1"/>
      <c r="AY20" s="1"/>
      <c r="AZ20" s="1"/>
      <c r="BA20" s="1"/>
      <c r="BB20" s="1"/>
      <c r="BC20" s="1"/>
      <c r="BD20" s="1"/>
      <c r="BE20" s="240" t="s">
        <v>8</v>
      </c>
      <c r="BF20" s="1"/>
      <c r="BG20" s="1"/>
      <c r="BH20" s="1"/>
      <c r="BI20" s="1"/>
      <c r="BJ20" s="1"/>
      <c r="BK20" s="1"/>
      <c r="BL20" s="1"/>
      <c r="BM20" s="1"/>
      <c r="BN20" s="1"/>
      <c r="BO20" s="1"/>
      <c r="BP20" s="1"/>
      <c r="BQ20" s="322"/>
      <c r="BR20" s="1"/>
      <c r="BS20" s="1"/>
      <c r="BT20" s="1"/>
      <c r="BU20" s="1"/>
      <c r="BV20" s="1"/>
      <c r="BW20" s="1"/>
      <c r="BX20" s="1"/>
      <c r="BY20" s="1"/>
      <c r="BZ20" s="1"/>
      <c r="CA20" s="1"/>
      <c r="CB20" s="1"/>
      <c r="CC20" s="1"/>
      <c r="CD20" s="1"/>
      <c r="CE20" s="1"/>
      <c r="CF20" s="1"/>
      <c r="CG20" s="1"/>
      <c r="CH20" s="1"/>
      <c r="CI20" s="1"/>
      <c r="CJ20" s="1"/>
      <c r="CK20" s="1"/>
      <c r="CL20" s="1"/>
      <c r="CM20" s="1"/>
      <c r="CN20" s="1"/>
      <c r="CO20" s="322"/>
      <c r="CP20" s="1"/>
      <c r="CQ20" s="1"/>
      <c r="CR20" s="1"/>
      <c r="CS20" s="1"/>
      <c r="CT20" s="1"/>
      <c r="CU20" s="1"/>
      <c r="CV20" s="1"/>
      <c r="CW20" s="1"/>
      <c r="CX20" s="1"/>
      <c r="CY20" s="1"/>
      <c r="CZ20" s="1"/>
      <c r="DA20" s="1"/>
      <c r="DB20" s="1"/>
      <c r="DC20" s="1"/>
      <c r="DD20" s="1"/>
      <c r="DE20" s="1"/>
      <c r="DF20" s="1"/>
      <c r="DG20" s="1"/>
      <c r="DH20" s="1"/>
      <c r="DI20" s="1"/>
      <c r="DJ20" s="1"/>
      <c r="DK20" s="1"/>
      <c r="DL20" s="1"/>
      <c r="DM20" s="322"/>
      <c r="DN20" s="1"/>
      <c r="DO20" s="1"/>
      <c r="DP20" s="1"/>
      <c r="DQ20" s="1"/>
      <c r="DR20" s="1"/>
      <c r="DS20" s="1"/>
      <c r="DT20" s="1"/>
      <c r="DU20" s="1"/>
      <c r="DV20" s="1"/>
      <c r="DW20" s="1"/>
      <c r="DX20" s="1"/>
      <c r="DY20" s="1"/>
      <c r="DZ20" s="1"/>
      <c r="EA20" s="1"/>
      <c r="EB20" s="1"/>
      <c r="EC20" s="1"/>
      <c r="ED20" s="1"/>
      <c r="EE20" s="1"/>
      <c r="EF20" s="1"/>
      <c r="EG20" s="1"/>
      <c r="EH20" s="1"/>
      <c r="EI20" s="1"/>
      <c r="EJ20" s="1"/>
      <c r="EK20" s="322"/>
      <c r="EL20" s="1"/>
      <c r="EM20" s="1"/>
      <c r="EN20" s="1"/>
      <c r="EO20" s="1"/>
      <c r="EP20" s="1"/>
      <c r="EQ20" s="1"/>
      <c r="ER20" s="1"/>
      <c r="ES20" s="1"/>
      <c r="ET20" s="1"/>
      <c r="EU20" s="1"/>
      <c r="EV20" s="1"/>
      <c r="EW20" s="1"/>
      <c r="EX20" s="1"/>
      <c r="EY20" s="1"/>
      <c r="EZ20" s="1"/>
      <c r="FA20" s="1"/>
      <c r="FB20" s="1"/>
      <c r="FC20" s="1"/>
      <c r="FD20" s="1"/>
      <c r="FE20" s="1"/>
      <c r="FF20" s="1"/>
      <c r="FG20" s="1"/>
      <c r="FH20" s="1"/>
      <c r="FI20" s="322"/>
      <c r="FJ20" s="1"/>
      <c r="FK20" s="1"/>
      <c r="FL20" s="1"/>
      <c r="FM20" s="1"/>
      <c r="FN20" s="1"/>
      <c r="FO20" s="1"/>
      <c r="FP20" s="1"/>
      <c r="FQ20" s="1"/>
      <c r="FR20" s="1"/>
      <c r="FS20" s="1"/>
      <c r="FT20" s="1"/>
      <c r="FU20" s="1"/>
      <c r="FV20" s="1"/>
      <c r="FW20" s="1"/>
      <c r="FX20" s="1"/>
      <c r="FY20" s="1"/>
      <c r="FZ20" s="1"/>
      <c r="GA20" s="1"/>
      <c r="GB20" s="1"/>
      <c r="GC20" s="1"/>
      <c r="GD20" s="1"/>
      <c r="GE20" s="1"/>
      <c r="GF20" s="1"/>
      <c r="GG20" s="322"/>
      <c r="GH20" s="1"/>
      <c r="GI20" s="1"/>
      <c r="GJ20" s="1"/>
      <c r="GK20" s="1"/>
      <c r="GL20" s="1"/>
      <c r="GM20" s="1"/>
      <c r="GN20" s="1"/>
      <c r="GO20" s="1"/>
      <c r="GP20" s="1"/>
      <c r="GQ20" s="1"/>
      <c r="GR20" s="1"/>
      <c r="GS20" s="1"/>
      <c r="GT20" s="1"/>
      <c r="GU20" s="1"/>
      <c r="GV20" s="1"/>
      <c r="GW20" s="1"/>
      <c r="GX20" s="1"/>
      <c r="GY20" s="1"/>
      <c r="GZ20" s="1"/>
      <c r="HA20" s="1"/>
      <c r="HB20" s="1"/>
      <c r="HC20" s="1"/>
      <c r="HD20" s="1"/>
      <c r="HE20" s="322"/>
      <c r="HF20" s="1"/>
      <c r="HG20" s="1"/>
      <c r="HH20" s="1"/>
      <c r="HI20" s="1"/>
      <c r="HJ20" s="1"/>
      <c r="HK20" s="1"/>
      <c r="HL20" s="1"/>
      <c r="HM20" s="1"/>
      <c r="HN20" s="1"/>
      <c r="HO20" s="1"/>
      <c r="HP20" s="1"/>
      <c r="HQ20" s="203"/>
      <c r="HR20" s="1"/>
      <c r="HS20" s="1"/>
      <c r="HT20" s="1"/>
      <c r="HU20" s="1"/>
      <c r="HV20" s="1"/>
      <c r="HW20" s="1"/>
      <c r="HX20" s="1"/>
      <c r="HY20" s="1"/>
      <c r="HZ20" s="1"/>
      <c r="IA20" s="1"/>
      <c r="IB20" s="1"/>
      <c r="IC20" s="322"/>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row>
    <row r="21" spans="1:285" ht="20" customHeight="1">
      <c r="A21" s="3"/>
      <c r="B21" s="611" t="s">
        <v>103</v>
      </c>
      <c r="C21" s="613" t="s">
        <v>193</v>
      </c>
      <c r="D21" s="615" t="s">
        <v>194</v>
      </c>
      <c r="E21" s="613" t="s">
        <v>196</v>
      </c>
      <c r="F21" s="553"/>
      <c r="G21" s="617" t="s">
        <v>105</v>
      </c>
      <c r="H21" s="554"/>
      <c r="I21" s="617" t="s">
        <v>104</v>
      </c>
      <c r="J21" s="140"/>
      <c r="M21" s="140"/>
      <c r="N21" s="5" t="s">
        <v>100</v>
      </c>
      <c r="O21" s="200">
        <v>40977.450451334371</v>
      </c>
      <c r="P21" s="200">
        <f>SUM('Farm and Rotation Setup'!FJ14:GG18)</f>
        <v>94352.310093832188</v>
      </c>
      <c r="Q21" s="197">
        <f t="shared" si="1"/>
        <v>1.3025422288262383</v>
      </c>
      <c r="R21" s="140"/>
      <c r="S21" s="140"/>
      <c r="T21" s="140"/>
      <c r="V21" s="1"/>
      <c r="W21" s="1"/>
      <c r="X21" s="1"/>
      <c r="Y21" s="1"/>
      <c r="Z21" s="1"/>
      <c r="AA21" s="1"/>
      <c r="AB21" s="1"/>
      <c r="AC21" s="1"/>
      <c r="AD21" s="1"/>
      <c r="AE21" s="1"/>
      <c r="AF21" s="1"/>
      <c r="AG21" s="1"/>
      <c r="AH21" s="1"/>
      <c r="AI21" s="1"/>
      <c r="AJ21" s="1"/>
      <c r="AK21" s="1"/>
      <c r="AL21" s="1"/>
      <c r="AM21" s="1"/>
      <c r="AN21" s="1"/>
      <c r="AO21" s="1"/>
      <c r="AP21" s="1"/>
      <c r="AQ21" s="1"/>
      <c r="AR21" s="1"/>
      <c r="AS21" s="322"/>
      <c r="AU21" s="1"/>
      <c r="AV21" s="1"/>
      <c r="AW21" s="1"/>
      <c r="AX21" s="1"/>
      <c r="AY21" s="1"/>
      <c r="AZ21" s="1"/>
      <c r="BA21" s="1"/>
      <c r="BB21" s="1"/>
      <c r="BC21" s="1"/>
      <c r="BD21" s="1"/>
      <c r="BE21" s="240" t="s">
        <v>8</v>
      </c>
      <c r="BF21" s="1"/>
      <c r="BG21" s="1"/>
      <c r="BH21" s="1"/>
      <c r="BI21" s="1"/>
      <c r="BJ21" s="1"/>
      <c r="BK21" s="1"/>
      <c r="BL21" s="1"/>
      <c r="BM21" s="1"/>
      <c r="BN21" s="1"/>
      <c r="BO21" s="1"/>
      <c r="BP21" s="1"/>
      <c r="BQ21" s="322"/>
      <c r="BR21" s="1"/>
      <c r="BS21" s="1"/>
      <c r="BT21" s="1"/>
      <c r="BU21" s="1"/>
      <c r="BV21" s="1"/>
      <c r="BW21" s="1"/>
      <c r="BX21" s="1"/>
      <c r="BY21" s="1"/>
      <c r="BZ21" s="1"/>
      <c r="CA21" s="1"/>
      <c r="CB21" s="1"/>
      <c r="CC21" s="1"/>
      <c r="CD21" s="1"/>
      <c r="CE21" s="1"/>
      <c r="CF21" s="1"/>
      <c r="CG21" s="1"/>
      <c r="CH21" s="1"/>
      <c r="CI21" s="1"/>
      <c r="CJ21" s="1"/>
      <c r="CK21" s="1"/>
      <c r="CL21" s="1"/>
      <c r="CM21" s="1"/>
      <c r="CN21" s="1"/>
      <c r="CO21" s="322"/>
      <c r="CP21" s="1"/>
      <c r="CQ21" s="1"/>
      <c r="CR21" s="1"/>
      <c r="CS21" s="1"/>
      <c r="CT21" s="1"/>
      <c r="CU21" s="1"/>
      <c r="CV21" s="1"/>
      <c r="CW21" s="1"/>
      <c r="CX21" s="1"/>
      <c r="CY21" s="1"/>
      <c r="CZ21" s="1"/>
      <c r="DA21" s="1"/>
      <c r="DB21" s="1"/>
      <c r="DC21" s="1"/>
      <c r="DD21" s="1"/>
      <c r="DE21" s="1"/>
      <c r="DF21" s="1"/>
      <c r="DG21" s="1"/>
      <c r="DH21" s="1"/>
      <c r="DI21" s="1"/>
      <c r="DJ21" s="1"/>
      <c r="DK21" s="1"/>
      <c r="DL21" s="1"/>
      <c r="DM21" s="322"/>
      <c r="DN21" s="1"/>
      <c r="DO21" s="1"/>
      <c r="DP21" s="1"/>
      <c r="DQ21" s="1"/>
      <c r="DR21" s="1"/>
      <c r="DS21" s="1"/>
      <c r="DT21" s="1"/>
      <c r="DU21" s="1"/>
      <c r="DV21" s="1"/>
      <c r="DW21" s="1"/>
      <c r="DX21" s="1"/>
      <c r="DY21" s="1"/>
      <c r="DZ21" s="1"/>
      <c r="EA21" s="1"/>
      <c r="EB21" s="1"/>
      <c r="EC21" s="1"/>
      <c r="ED21" s="1"/>
      <c r="EE21" s="1"/>
      <c r="EF21" s="1"/>
      <c r="EG21" s="1"/>
      <c r="EH21" s="1"/>
      <c r="EI21" s="1"/>
      <c r="EJ21" s="1"/>
      <c r="EK21" s="322"/>
      <c r="EL21" s="1"/>
      <c r="EM21" s="1"/>
      <c r="EN21" s="1"/>
      <c r="EO21" s="1"/>
      <c r="EP21" s="1"/>
      <c r="EQ21" s="1"/>
      <c r="ER21" s="1"/>
      <c r="ES21" s="1"/>
      <c r="ET21" s="1"/>
      <c r="EU21" s="1"/>
      <c r="EV21" s="1"/>
      <c r="EW21" s="1"/>
      <c r="EX21" s="1"/>
      <c r="EY21" s="1"/>
      <c r="EZ21" s="1"/>
      <c r="FA21" s="1"/>
      <c r="FB21" s="1"/>
      <c r="FC21" s="1"/>
      <c r="FD21" s="1"/>
      <c r="FE21" s="1"/>
      <c r="FF21" s="1"/>
      <c r="FG21" s="1"/>
      <c r="FH21" s="1"/>
      <c r="FI21" s="322"/>
      <c r="FJ21" s="1"/>
      <c r="FK21" s="1"/>
      <c r="FL21" s="1"/>
      <c r="FM21" s="1"/>
      <c r="FN21" s="1"/>
      <c r="FO21" s="1"/>
      <c r="FP21" s="1"/>
      <c r="FQ21" s="1"/>
      <c r="FR21" s="1"/>
      <c r="FS21" s="1"/>
      <c r="FT21" s="1"/>
      <c r="FU21" s="1"/>
      <c r="FV21" s="1"/>
      <c r="FW21" s="1"/>
      <c r="FX21" s="1"/>
      <c r="FY21" s="1"/>
      <c r="FZ21" s="1"/>
      <c r="GA21" s="1"/>
      <c r="GB21" s="1"/>
      <c r="GC21" s="1"/>
      <c r="GD21" s="1"/>
      <c r="GE21" s="1"/>
      <c r="GF21" s="1"/>
      <c r="GG21" s="322"/>
      <c r="GH21" s="1"/>
      <c r="GI21" s="1"/>
      <c r="GJ21" s="1"/>
      <c r="GK21" s="1"/>
      <c r="GL21" s="1"/>
      <c r="GM21" s="1"/>
      <c r="GN21" s="1"/>
      <c r="GO21" s="1"/>
      <c r="GP21" s="1"/>
      <c r="GQ21" s="1"/>
      <c r="GR21" s="1"/>
      <c r="GS21" s="1"/>
      <c r="GT21" s="1"/>
      <c r="GU21" s="1"/>
      <c r="GV21" s="1"/>
      <c r="GW21" s="1"/>
      <c r="GX21" s="1"/>
      <c r="GY21" s="1"/>
      <c r="GZ21" s="1"/>
      <c r="HA21" s="1"/>
      <c r="HB21" s="1"/>
      <c r="HC21" s="1"/>
      <c r="HD21" s="1"/>
      <c r="HE21" s="322"/>
      <c r="HF21" s="1"/>
      <c r="HG21" s="1"/>
      <c r="HH21" s="1"/>
      <c r="HI21" s="1"/>
      <c r="HJ21" s="1"/>
      <c r="HK21" s="1"/>
      <c r="HL21" s="1"/>
      <c r="HM21" s="1"/>
      <c r="HN21" s="1"/>
      <c r="HO21" s="1"/>
      <c r="HP21" s="1"/>
      <c r="HQ21" s="203"/>
      <c r="HR21" s="1"/>
      <c r="HS21" s="1"/>
      <c r="HT21" s="1"/>
      <c r="HU21" s="1"/>
      <c r="HV21" s="1"/>
      <c r="HW21" s="1"/>
      <c r="HX21" s="1"/>
      <c r="HY21" s="1"/>
      <c r="HZ21" s="1"/>
      <c r="IA21" s="1"/>
      <c r="IB21" s="1"/>
      <c r="IC21" s="322"/>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row>
    <row r="22" spans="1:285" ht="20" customHeight="1">
      <c r="A22" s="3"/>
      <c r="B22" s="612"/>
      <c r="C22" s="614"/>
      <c r="D22" s="616"/>
      <c r="E22" s="614"/>
      <c r="F22" s="555"/>
      <c r="G22" s="618"/>
      <c r="H22" s="556"/>
      <c r="I22" s="618"/>
      <c r="J22" s="140"/>
      <c r="M22" s="140"/>
      <c r="N22" s="5" t="s">
        <v>102</v>
      </c>
      <c r="O22" s="200">
        <v>16129.898273330997</v>
      </c>
      <c r="P22" s="200">
        <f>SUM('Farm and Rotation Setup'!GH14:HE18)</f>
        <v>44441.766178734033</v>
      </c>
      <c r="Q22" s="197">
        <f t="shared" si="1"/>
        <v>1.7552415660434499</v>
      </c>
      <c r="R22" s="140"/>
      <c r="S22" s="140"/>
      <c r="T22" s="140"/>
      <c r="V22" s="1"/>
      <c r="W22" s="1"/>
      <c r="X22" s="1"/>
      <c r="Y22" s="1"/>
      <c r="Z22" s="1"/>
      <c r="AA22" s="1"/>
      <c r="AB22" s="1"/>
      <c r="AC22" s="1"/>
      <c r="AD22" s="1"/>
      <c r="AE22" s="1"/>
      <c r="AF22" s="1"/>
      <c r="AG22" s="1"/>
      <c r="AH22" s="1"/>
      <c r="AI22" s="1"/>
      <c r="AJ22" s="1"/>
      <c r="AK22" s="1"/>
      <c r="AL22" s="1"/>
      <c r="AM22" s="1"/>
      <c r="AN22" s="1"/>
      <c r="AO22" s="1"/>
      <c r="AP22" s="1"/>
      <c r="AQ22" s="1"/>
      <c r="AR22" s="1"/>
      <c r="AS22" s="322"/>
      <c r="AU22" s="1"/>
      <c r="AV22" s="1"/>
      <c r="AW22" s="1"/>
      <c r="AX22" s="1"/>
      <c r="AY22" s="1"/>
      <c r="AZ22" s="1"/>
      <c r="BA22" s="1"/>
      <c r="BB22" s="1"/>
      <c r="BC22" s="1"/>
      <c r="BD22" s="1"/>
      <c r="BE22" s="240" t="s">
        <v>8</v>
      </c>
      <c r="BF22" s="1"/>
      <c r="BG22" s="1"/>
      <c r="BH22" s="1"/>
      <c r="BI22" s="1"/>
      <c r="BJ22" s="1"/>
      <c r="BK22" s="1"/>
      <c r="BL22" s="1"/>
      <c r="BM22" s="1"/>
      <c r="BN22" s="1"/>
      <c r="BO22" s="1"/>
      <c r="BP22" s="1"/>
      <c r="BQ22" s="322"/>
      <c r="BR22" s="1"/>
      <c r="BS22" s="1"/>
      <c r="BT22" s="1"/>
      <c r="BU22" s="1"/>
      <c r="BV22" s="1"/>
      <c r="BW22" s="1"/>
      <c r="BX22" s="1"/>
      <c r="BY22" s="1"/>
      <c r="BZ22" s="1"/>
      <c r="CA22" s="1"/>
      <c r="CB22" s="1"/>
      <c r="CC22" s="1"/>
      <c r="CD22" s="1"/>
      <c r="CE22" s="1"/>
      <c r="CF22" s="1"/>
      <c r="CG22" s="1"/>
      <c r="CH22" s="1"/>
      <c r="CI22" s="1"/>
      <c r="CJ22" s="1"/>
      <c r="CK22" s="1"/>
      <c r="CL22" s="1"/>
      <c r="CM22" s="1"/>
      <c r="CN22" s="1"/>
      <c r="CO22" s="322"/>
      <c r="CP22" s="1"/>
      <c r="CQ22" s="1"/>
      <c r="CR22" s="1"/>
      <c r="CS22" s="1"/>
      <c r="CT22" s="1"/>
      <c r="CU22" s="1"/>
      <c r="CV22" s="1"/>
      <c r="CW22" s="1"/>
      <c r="CX22" s="1"/>
      <c r="CY22" s="1"/>
      <c r="CZ22" s="1"/>
      <c r="DA22" s="1"/>
      <c r="DB22" s="1"/>
      <c r="DC22" s="1"/>
      <c r="DD22" s="1"/>
      <c r="DE22" s="1"/>
      <c r="DF22" s="1"/>
      <c r="DG22" s="1"/>
      <c r="DH22" s="1"/>
      <c r="DI22" s="1"/>
      <c r="DJ22" s="1"/>
      <c r="DK22" s="1"/>
      <c r="DL22" s="1"/>
      <c r="DM22" s="322"/>
      <c r="DN22" s="1"/>
      <c r="DO22" s="1"/>
      <c r="DP22" s="1"/>
      <c r="DQ22" s="1"/>
      <c r="DR22" s="1"/>
      <c r="DS22" s="1"/>
      <c r="DT22" s="1"/>
      <c r="DU22" s="1"/>
      <c r="DV22" s="1"/>
      <c r="DW22" s="1"/>
      <c r="DX22" s="1"/>
      <c r="DY22" s="1"/>
      <c r="DZ22" s="1"/>
      <c r="EA22" s="1"/>
      <c r="EB22" s="1"/>
      <c r="EC22" s="1"/>
      <c r="ED22" s="1"/>
      <c r="EE22" s="1"/>
      <c r="EF22" s="1"/>
      <c r="EG22" s="1"/>
      <c r="EH22" s="1"/>
      <c r="EI22" s="1"/>
      <c r="EJ22" s="1"/>
      <c r="EK22" s="322"/>
      <c r="EL22" s="1"/>
      <c r="EM22" s="1"/>
      <c r="EN22" s="1"/>
      <c r="EO22" s="1"/>
      <c r="EP22" s="1"/>
      <c r="EQ22" s="1"/>
      <c r="ER22" s="1"/>
      <c r="ES22" s="1"/>
      <c r="ET22" s="1"/>
      <c r="EU22" s="1"/>
      <c r="EV22" s="1"/>
      <c r="EW22" s="1"/>
      <c r="EX22" s="1"/>
      <c r="EY22" s="1"/>
      <c r="EZ22" s="1"/>
      <c r="FA22" s="1"/>
      <c r="FB22" s="1"/>
      <c r="FC22" s="1"/>
      <c r="FD22" s="1"/>
      <c r="FE22" s="1"/>
      <c r="FF22" s="1"/>
      <c r="FG22" s="1"/>
      <c r="FH22" s="1"/>
      <c r="FI22" s="322"/>
      <c r="FJ22" s="1"/>
      <c r="FK22" s="1"/>
      <c r="FL22" s="1"/>
      <c r="FM22" s="1"/>
      <c r="FN22" s="1"/>
      <c r="FO22" s="1"/>
      <c r="FP22" s="1"/>
      <c r="FQ22" s="1"/>
      <c r="FR22" s="1"/>
      <c r="FS22" s="1"/>
      <c r="FT22" s="1"/>
      <c r="FU22" s="1"/>
      <c r="FV22" s="1"/>
      <c r="FW22" s="1"/>
      <c r="FX22" s="1"/>
      <c r="FY22" s="1"/>
      <c r="FZ22" s="1"/>
      <c r="GA22" s="1"/>
      <c r="GB22" s="1"/>
      <c r="GC22" s="1"/>
      <c r="GD22" s="1"/>
      <c r="GE22" s="1"/>
      <c r="GF22" s="1"/>
      <c r="GG22" s="322"/>
      <c r="GH22" s="1"/>
      <c r="GI22" s="1"/>
      <c r="GJ22" s="1"/>
      <c r="GK22" s="1"/>
      <c r="GL22" s="1"/>
      <c r="GM22" s="1"/>
      <c r="GN22" s="1"/>
      <c r="GO22" s="1"/>
      <c r="GP22" s="1"/>
      <c r="GQ22" s="1"/>
      <c r="GR22" s="1"/>
      <c r="GS22" s="1"/>
      <c r="GT22" s="1"/>
      <c r="GU22" s="1"/>
      <c r="GV22" s="1"/>
      <c r="GW22" s="1"/>
      <c r="GX22" s="1"/>
      <c r="GY22" s="1"/>
      <c r="GZ22" s="1"/>
      <c r="HA22" s="1"/>
      <c r="HB22" s="1"/>
      <c r="HC22" s="1"/>
      <c r="HD22" s="1"/>
      <c r="HE22" s="322"/>
      <c r="HF22" s="1"/>
      <c r="HG22" s="1"/>
      <c r="HH22" s="1"/>
      <c r="HI22" s="1"/>
      <c r="HJ22" s="1"/>
      <c r="HK22" s="1"/>
      <c r="HL22" s="1"/>
      <c r="HM22" s="1"/>
      <c r="HN22" s="1"/>
      <c r="HO22" s="1"/>
      <c r="HP22" s="1"/>
      <c r="HQ22" s="203"/>
      <c r="HR22" s="1"/>
      <c r="HS22" s="1"/>
      <c r="HT22" s="1"/>
      <c r="HU22" s="1"/>
      <c r="HV22" s="1"/>
      <c r="HW22" s="1"/>
      <c r="HX22" s="1"/>
      <c r="HY22" s="1"/>
      <c r="HZ22" s="1"/>
      <c r="IA22" s="1"/>
      <c r="IB22" s="1"/>
      <c r="IC22" s="322"/>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row>
    <row r="23" spans="1:285" ht="20" customHeight="1">
      <c r="A23" s="3"/>
      <c r="B23" s="606" t="s">
        <v>142</v>
      </c>
      <c r="C23" s="557">
        <v>1</v>
      </c>
      <c r="D23" s="558" t="s">
        <v>373</v>
      </c>
      <c r="E23" s="559">
        <v>0.4</v>
      </c>
      <c r="F23" s="560">
        <f>IF(D23="Livestock Grazing",0,E23)</f>
        <v>0.4</v>
      </c>
      <c r="G23" s="561">
        <f>IF(D23="Livestock Grazing",0,$I$2*E23)</f>
        <v>1000</v>
      </c>
      <c r="H23" s="562">
        <f>$I$2*E23</f>
        <v>1000</v>
      </c>
      <c r="I23" s="563">
        <f>SUM(AT23:BQ23)</f>
        <v>841.4954656696782</v>
      </c>
      <c r="J23" s="140"/>
      <c r="K23" s="140"/>
      <c r="L23" s="140"/>
      <c r="M23" s="140"/>
      <c r="N23" s="5" t="s">
        <v>101</v>
      </c>
      <c r="O23" s="196">
        <v>73474.997618596186</v>
      </c>
      <c r="P23" s="196">
        <f>SUM('Farm and Rotation Setup'!DN14:EK18)</f>
        <v>59899.611090268561</v>
      </c>
      <c r="Q23" s="197">
        <f t="shared" si="1"/>
        <v>-0.18476198663927218</v>
      </c>
      <c r="R23" s="140"/>
      <c r="S23" s="140"/>
      <c r="T23" s="140"/>
      <c r="V23" s="1">
        <f>IF($D23="SW Winter Wheat after Spring Legume",$H23,0)</f>
        <v>1000</v>
      </c>
      <c r="W23" s="1">
        <f>IF($D23="SW Winter Wheat after Forage Crop",$H23,0)</f>
        <v>0</v>
      </c>
      <c r="X23" s="1">
        <f>IF($D23="DN Spring Wheat after Spring Legume",$H23,0)</f>
        <v>0</v>
      </c>
      <c r="Y23" s="1">
        <f>IF($D23="DN Spring Wheat after Forage Crop",$H23,0)</f>
        <v>0</v>
      </c>
      <c r="Z23" s="1">
        <f>IF($D23="DN Spring Wheat after Winter Crop",$H23,0)</f>
        <v>0</v>
      </c>
      <c r="AA23" s="1">
        <f>IF($D23="Chickpea after Forage Crop",$H23,0)</f>
        <v>0</v>
      </c>
      <c r="AB23" s="1">
        <f>IF($D23="Chickpea after Cereal",$H23,0)</f>
        <v>0</v>
      </c>
      <c r="AC23" s="1">
        <f>IF($D23="Spring Pea after Cereal",$H23,0)</f>
        <v>0</v>
      </c>
      <c r="AD23" s="1">
        <f>IF($D23="Forage Crop-St. John Area",$H23,0)</f>
        <v>0</v>
      </c>
      <c r="AE23" s="1">
        <f>IF($D23="Forage Crop-Genesee Area",$H23,0)</f>
        <v>0</v>
      </c>
      <c r="AF23" s="1">
        <f>IF($D23="Livestock Grazing",$H23,0)</f>
        <v>0</v>
      </c>
      <c r="AG23" s="1">
        <f>IF($D23="SW Winter Wheat after Cereal",$H23,0)</f>
        <v>0</v>
      </c>
      <c r="AH23" s="1">
        <f>IF($D23="SW Winter Wheat after Fallow",$H23,0)</f>
        <v>0</v>
      </c>
      <c r="AI23" s="1">
        <f>IF($D23="Chem-Fallow",$H23,0)</f>
        <v>0</v>
      </c>
      <c r="AJ23" s="1">
        <f>IF($D23="Flex-Fallow",$H23,0)</f>
        <v>0</v>
      </c>
      <c r="AK23" s="1">
        <f>IF($D23="Spring Barley",$H23,0)</f>
        <v>0</v>
      </c>
      <c r="AL23" s="1">
        <f>IF($D23="Roundup Ready Spring Canola",$H23,0)</f>
        <v>0</v>
      </c>
      <c r="AM23" s="1">
        <f>IF($D23="Spring Canola",$H23,0)</f>
        <v>0</v>
      </c>
      <c r="AN23" s="1">
        <f>IF($D23="Spring Lentils",$H23,0)</f>
        <v>0</v>
      </c>
      <c r="AO23" s="1">
        <f>IF($D23="SW Spring Wheat",$H23,0)</f>
        <v>0</v>
      </c>
      <c r="AP23" s="1">
        <f>IF($D23="HR Winter Wheat",$H23,0)</f>
        <v>0</v>
      </c>
      <c r="AQ23" s="1">
        <f>IF($D23="Winter Pea",$H23,0)</f>
        <v>0</v>
      </c>
      <c r="AR23" s="1">
        <f>IF($D23="Winter Canola",$H23,0)</f>
        <v>0</v>
      </c>
      <c r="AS23" s="322">
        <f>IF($D23="Forage Crop-Soil Builder Blend",$H23,0)</f>
        <v>0</v>
      </c>
      <c r="AT23" s="1">
        <f>IF($D23="SW Winter Wheat after Spring Legume",SWWinterWheatAfterSpringLegume!$I$138,0)</f>
        <v>841.4954656696782</v>
      </c>
      <c r="AU23" s="1">
        <f>IF($D23="SW Winter Wheat after Forage Crop",SWWinterWheatAfterForageCrop!$I$138,0)</f>
        <v>0</v>
      </c>
      <c r="AV23" s="1">
        <f>IF($D23="DN Spring Wheat after Spring Legume",DNSpringWinterAfterSpringLegume!$I$138,0)</f>
        <v>0</v>
      </c>
      <c r="AW23" s="1">
        <f>IF($D23="DN Spring Wheat after Forage Crop",DNSpringWheatAfterForageCrop!$I$138,0)</f>
        <v>0</v>
      </c>
      <c r="AX23" s="1">
        <f>IF($D23="DN Spring Wheat after Winter Crop",DNSpringWheatAfterWinterCrop!$I$138,0)</f>
        <v>0</v>
      </c>
      <c r="AY23" s="1">
        <f>IF($D23="Chickpea after Forage Crop",ChickpeaAfterForageCrop!$I$138,0)</f>
        <v>0</v>
      </c>
      <c r="AZ23" s="1">
        <f>IF($D23="Chickpea after Cereal",ChickpeaAfterCereal!$I$138,0)</f>
        <v>0</v>
      </c>
      <c r="BA23" s="1">
        <f>IF($D23="Spring Pea after Cereal",SpringPeaAfterCereal!$I$138,0)</f>
        <v>0</v>
      </c>
      <c r="BB23" s="1">
        <f>IF($D23="Forage Crop-St. John Area",'ForageCrop-StJohn'!$I$138,0)</f>
        <v>0</v>
      </c>
      <c r="BC23" s="1">
        <f>IF($D23="Forage Crop-Genesee Area",'ForageCrop-Genesee'!$I$138,0)</f>
        <v>0</v>
      </c>
      <c r="BD23" s="1">
        <f>IF($D23="Livestock Grazing",LivestockGrazing!$I$138,0)</f>
        <v>0</v>
      </c>
      <c r="BE23" s="1">
        <f>IF($D23="SW Winter Wheat after Cereal",SWWinterWheatafterCereal!$I$138,0)</f>
        <v>0</v>
      </c>
      <c r="BF23" s="1">
        <f>IF($D23="SW Winter Wheat after Fallow",SWWinterWheatAfterFallow!$I$138,0)</f>
        <v>0</v>
      </c>
      <c r="BG23" s="1">
        <f>IF($D23="Chem-Fallow",'Chem-Fallow'!$I$138,0)</f>
        <v>0</v>
      </c>
      <c r="BH23" s="1">
        <f>IF($D23="Flex-Fallow",'Flex-Fallow'!$I$138,0)</f>
        <v>0</v>
      </c>
      <c r="BI23" s="1">
        <f>IF($D23="Spring Barley",SpringBarley!$I$138,0)</f>
        <v>0</v>
      </c>
      <c r="BJ23" s="1">
        <f>IF($D23="Roundup Ready Spring Canola",'SpringCanola_R-Ready'!$I$138,0)</f>
        <v>0</v>
      </c>
      <c r="BK23" s="1">
        <f>IF($D23="Spring Canola",SpringCanola!$I$138,0)</f>
        <v>0</v>
      </c>
      <c r="BL23" s="1">
        <f>IF($D23="Spring Lentils",SpringLentils!$I$138,0)</f>
        <v>0</v>
      </c>
      <c r="BM23" s="1">
        <f>IF($D23="SW Spring Wheat",SWSpringWheat!$I$138,0)</f>
        <v>0</v>
      </c>
      <c r="BN23" s="1">
        <f>IF($D23="HR Winter Wheat",HRWinterWheat!$I$138,0)</f>
        <v>0</v>
      </c>
      <c r="BO23" s="1">
        <f>IF($D23="Winter Pea",WinterPea!$I$138,0)</f>
        <v>0</v>
      </c>
      <c r="BP23" s="1">
        <f>IF($D23="Winter Canola",WinterCanola!$I$138,0)</f>
        <v>0</v>
      </c>
      <c r="BQ23" s="322">
        <f>IF($D23="Forage Crop-Soil Builder Blend",ForageCrop!$I$138,0)</f>
        <v>0</v>
      </c>
      <c r="BR23" s="1">
        <f>IF($D23="SW Winter Wheat after Spring Legume",H23*SWWinterWheatAfterSpringLegume!$I$138,0)</f>
        <v>841495.46566967817</v>
      </c>
      <c r="BS23" s="1">
        <f>IF($D23="SW Winter Wheat after Forage Crop",H23*SWWinterWheatAfterForageCrop!$I$138,0)</f>
        <v>0</v>
      </c>
      <c r="BT23" s="1">
        <f>IF($D23="DN Spring Wheat after Spring Legume",H23*DNSpringWinterAfterSpringLegume!$I$138,0)</f>
        <v>0</v>
      </c>
      <c r="BU23" s="1">
        <f>IF($D23="DN Spring Wheat after Forage Crop",H23*DNSpringWheatAfterForageCrop!$I$138,0)</f>
        <v>0</v>
      </c>
      <c r="BV23" s="1">
        <f>IF($D23="DN Spring Wheat after Winter Crop",H23*DNSpringWheatAfterWinterCrop!$I$138,0)</f>
        <v>0</v>
      </c>
      <c r="BW23" s="1">
        <f>IF($D23="Chickpea after Forage Crop",H23*ChickpeaAfterForageCrop!$I$138,0)</f>
        <v>0</v>
      </c>
      <c r="BX23" s="1">
        <f>IF($D23="Chickpea after Cereal",H23*ChickpeaAfterCereal!$I$138,0)</f>
        <v>0</v>
      </c>
      <c r="BY23" s="1">
        <f>IF($D23="Spring Pea after Cereal",H23*SpringPeaAfterCereal!$I$138,0)</f>
        <v>0</v>
      </c>
      <c r="BZ23" s="1">
        <f>IF($D23="Forage Crop-St. John Area",H23*'ForageCrop-StJohn'!$I$138,0)</f>
        <v>0</v>
      </c>
      <c r="CA23" s="1">
        <f>IF($D23="Forage Crop-Genesee Area",H23*'ForageCrop-Genesee'!$I$138,0)</f>
        <v>0</v>
      </c>
      <c r="CB23" s="1">
        <f>IF($D23="Livestock Grazing",H23*LivestockGrazing!$I$138,0)</f>
        <v>0</v>
      </c>
      <c r="CC23" s="1">
        <f>IF($D23="SW Winter Wheat after Cereal",H23*SWWinterWheatafterCereal!$I$138,0)</f>
        <v>0</v>
      </c>
      <c r="CD23" s="1">
        <f>IF($D23="SW Winter Wheat after Fallow",H23*SWWinterWheatAfterFallow!$I$138,0)</f>
        <v>0</v>
      </c>
      <c r="CE23" s="1">
        <f>IF($D23="Chem-Fallow",H23*'Chem-Fallow'!$I$138,0)</f>
        <v>0</v>
      </c>
      <c r="CF23" s="1">
        <f>IF($D23="Flex-Fallow",H23*'Flex-Fallow'!$I$138,0)</f>
        <v>0</v>
      </c>
      <c r="CG23" s="1">
        <f>IF($D23="Spring Barley",H23*SpringBarley!$I$138,0)</f>
        <v>0</v>
      </c>
      <c r="CH23" s="1">
        <f>IF($D23="Roundup Ready Spring Canola",H23*'SpringCanola_R-Ready'!$I$138,0)</f>
        <v>0</v>
      </c>
      <c r="CI23" s="1">
        <f>IF($D23="Spring Canola",H23*SpringCanola!$I$138,0)</f>
        <v>0</v>
      </c>
      <c r="CJ23" s="1">
        <f>IF($D23="Spring Lentils",H23*SpringLentils!$I$138,0)</f>
        <v>0</v>
      </c>
      <c r="CK23" s="1">
        <f>IF($D23="SW Spring Wheat",H23*SWSpringWheat!$I$138,0)</f>
        <v>0</v>
      </c>
      <c r="CL23" s="1">
        <f>IF($D23="HR Winter Wheat",H23*HRWinterWheat!$I$138,0)</f>
        <v>0</v>
      </c>
      <c r="CM23" s="1">
        <f>IF($D23="Winter Pea",H23*WinterPea!$I$138,0)</f>
        <v>0</v>
      </c>
      <c r="CN23" s="1">
        <f>IF($D23="Winter Canola",H23*WinterCanola!$I$138,0)</f>
        <v>0</v>
      </c>
      <c r="CO23" s="322">
        <f>IF($D23="Forage Crop-Soil Builder Blend",H23*ForageCrop!$I$138,0)</f>
        <v>0</v>
      </c>
      <c r="CP23" s="1">
        <f>IF($D23="SW Winter Wheat after Spring Legume",H23*'Prices_Yields&amp;SeedInputs'!J$5,0)</f>
        <v>90000</v>
      </c>
      <c r="CQ23" s="1">
        <f>IF($D23="SW Winter Wheat after Forage Crop",H23*'Prices_Yields&amp;SeedInputs'!J$6,0)</f>
        <v>0</v>
      </c>
      <c r="CR23" s="1">
        <f>IF($D23="DN Spring Wheat after Spring Legume",H23*'Prices_Yields&amp;SeedInputs'!J$7,0)</f>
        <v>0</v>
      </c>
      <c r="CS23" s="1">
        <f>IF($D23="DN Spring Wheat after Forage Crop",H23*'Prices_Yields&amp;SeedInputs'!J$8,0)</f>
        <v>0</v>
      </c>
      <c r="CT23" s="1">
        <f>IF($D23="DN Spring Wheat after Winter Crop",H23*'Prices_Yields&amp;SeedInputs'!J$9,0)</f>
        <v>0</v>
      </c>
      <c r="CU23" s="1">
        <f>IF($D23="Chickpea after Forage Crop",H23*'Prices_Yields&amp;SeedInputs'!J$10,0)</f>
        <v>0</v>
      </c>
      <c r="CV23" s="1">
        <f>IF($D23="Chickpea after Cereal",H23*'Prices_Yields&amp;SeedInputs'!J$11,0)</f>
        <v>0</v>
      </c>
      <c r="CW23" s="1">
        <f>IF($D23="Spring Pea after Cereal",H23*'Prices_Yields&amp;SeedInputs'!J$12,0)</f>
        <v>0</v>
      </c>
      <c r="CX23" s="1">
        <f>IF($D23="Forage Crop-St. John Area",H23*'Prices_Yields&amp;SeedInputs'!J$13,0)</f>
        <v>0</v>
      </c>
      <c r="CY23" s="1">
        <f>IF($D23="Forage Crop-Genesee Area",H23*'Prices_Yields&amp;SeedInputs'!J$14,0)</f>
        <v>0</v>
      </c>
      <c r="CZ23" s="1">
        <f>IF($D23="Livestock Grazing",H23*'Prices_Yields&amp;SeedInputs'!J$15,0)</f>
        <v>0</v>
      </c>
      <c r="DA23" s="1">
        <f>IF($D23="SW Winter Wheat after Cereal",H23*'Prices_Yields&amp;SeedInputs'!J$16,0)</f>
        <v>0</v>
      </c>
      <c r="DB23" s="1">
        <f>IF($D23="SW Winter Wheat after Fallow",H23*'Prices_Yields&amp;SeedInputs'!J$17,0)</f>
        <v>0</v>
      </c>
      <c r="DC23" s="1">
        <f>IF($D23="Chem-Fallow",H23*'Prices_Yields&amp;SeedInputs'!J$18,0)</f>
        <v>0</v>
      </c>
      <c r="DD23" s="1">
        <f>IF($D23="Flex-Fallow",H23*'Prices_Yields&amp;SeedInputs'!J$19,0)</f>
        <v>0</v>
      </c>
      <c r="DE23" s="1">
        <f>IF($D23="Spring Barley",H23*'Prices_Yields&amp;SeedInputs'!J$20,0)</f>
        <v>0</v>
      </c>
      <c r="DF23" s="1">
        <f>IF($D23="Roundup Ready Spring Canola",H23*'Prices_Yields&amp;SeedInputs'!J$21,0)</f>
        <v>0</v>
      </c>
      <c r="DG23" s="1">
        <f>IF($D23="Spring Canola",H23*'Prices_Yields&amp;SeedInputs'!J$22,0)</f>
        <v>0</v>
      </c>
      <c r="DH23" s="1">
        <f>IF($D23="Spring Lentils",H23*'Prices_Yields&amp;SeedInputs'!J$23,0)</f>
        <v>0</v>
      </c>
      <c r="DI23" s="1">
        <f>IF($D23="SW Spring Wheat",H23*'Prices_Yields&amp;SeedInputs'!J$24,0)</f>
        <v>0</v>
      </c>
      <c r="DJ23" s="1">
        <f>IF($D23="HR Winter Wheat",H23*'Prices_Yields&amp;SeedInputs'!J$25,0)</f>
        <v>0</v>
      </c>
      <c r="DK23" s="1">
        <f>IF($D23="Winter Pea",H23*'Prices_Yields&amp;SeedInputs'!J$26,0)</f>
        <v>0</v>
      </c>
      <c r="DL23" s="1">
        <f>IF($D23="Winter Canola",H23*'Prices_Yields&amp;SeedInputs'!J$27,0)</f>
        <v>0</v>
      </c>
      <c r="DM23" s="322">
        <f>IF($D23="Forage Crop-Soil Builder Blend",H23*'Prices_Yields&amp;SeedInputs'!J$28,0)</f>
        <v>0</v>
      </c>
      <c r="DN23" s="1">
        <f>IF($D23="SW Winter Wheat after Spring Legume",$H23*SWWinterWheatAfterSpringLegume!$I$135,0)</f>
        <v>24041.109476470603</v>
      </c>
      <c r="DO23" s="1">
        <f>IF($D23="SW Winter Wheat after Forage Crop",$H23*SWWinterWheatAfterForageCrop!$I$135,0)</f>
        <v>0</v>
      </c>
      <c r="DP23" s="1">
        <f>IF($D23="DN Spring Wheat after Spring Legume",$H23*DNSpringWinterAfterSpringLegume!$I$135,0)</f>
        <v>0</v>
      </c>
      <c r="DQ23" s="1">
        <f>IF($D23="DN Spring Wheat after Forage Crop",$H23*DNSpringWheatAfterForageCrop!$I$135,0)</f>
        <v>0</v>
      </c>
      <c r="DR23" s="1">
        <f>IF($D23="DN Spring Wheat after Winter Crop",$H23*DNSpringWheatAfterWinterCrop!$I$135,0)</f>
        <v>0</v>
      </c>
      <c r="DS23" s="1">
        <f>IF($D23="Chickpea after Forage Crop",$H23*ChickpeaAfterForageCrop!$I$135,0)</f>
        <v>0</v>
      </c>
      <c r="DT23" s="1">
        <f>IF($D23="Chickpea after Cereal",$H23*ChickpeaAfterCereal!$I$135,0)</f>
        <v>0</v>
      </c>
      <c r="DU23" s="1">
        <f>IF($D23="Spring Pea after Cereal",$H23*SpringPeaAfterCereal!$I$135,0)</f>
        <v>0</v>
      </c>
      <c r="DV23" s="1">
        <f>IF($D23="Forage Crop-St. John Area",$H23*'ForageCrop-StJohn'!$I$135,0)</f>
        <v>0</v>
      </c>
      <c r="DW23" s="1">
        <f>IF($D23="Forage Crop-Genesee Area",$H23*'ForageCrop-Genesee'!$I$135,0)</f>
        <v>0</v>
      </c>
      <c r="DX23" s="1">
        <f>IF($D23="Livestock Grazing",$H23*LivestockGrazing!$I$135,0)</f>
        <v>0</v>
      </c>
      <c r="DY23" s="1">
        <f>IF($D23="SW Winter Wheat after Cereal",$H23*SWWinterWheatafterCereal!$I$135,0)</f>
        <v>0</v>
      </c>
      <c r="DZ23" s="1">
        <f>IF($D23="SW Winter Wheat after Fallow",$H23*SWWinterWheatAfterFallow!$I$135,0)</f>
        <v>0</v>
      </c>
      <c r="EA23" s="1">
        <f>IF($D23="Chem-Fallow",$H23*'Chem-Fallow'!$I$135,0)</f>
        <v>0</v>
      </c>
      <c r="EB23" s="1">
        <f>IF($D23="Flex-Fallow",$H23*'Flex-Fallow'!$I$135,0)</f>
        <v>0</v>
      </c>
      <c r="EC23" s="1">
        <f>IF($D23="Spring Barley",$H23*SpringBarley!$I$135,0)</f>
        <v>0</v>
      </c>
      <c r="ED23" s="1">
        <f>IF($D23="Roundup Ready Spring Canola",$H23*'SpringCanola_R-Ready'!$I$135,0)</f>
        <v>0</v>
      </c>
      <c r="EE23" s="1">
        <f>IF($D23="Spring Canola",$H23*SpringCanola!$I$135,0)</f>
        <v>0</v>
      </c>
      <c r="EF23" s="1">
        <f>IF($D23="Spring Lentils",$H23*SpringLentils!$I$135,0)</f>
        <v>0</v>
      </c>
      <c r="EG23" s="1">
        <f>IF($D23="SW Spring Wheat",$H23*SWSpringWheat!$I$135,0)</f>
        <v>0</v>
      </c>
      <c r="EH23" s="1">
        <f>IF($D23="HR Winter Wheat",$H23*HRWinterWheat!$I$135,0)</f>
        <v>0</v>
      </c>
      <c r="EI23" s="1">
        <f>IF($D23="Winter Pea",$H23*WinterPea!$I$135,0)</f>
        <v>0</v>
      </c>
      <c r="EJ23" s="1">
        <f>IF($D23="Winter Canola",$H23*WinterCanola!$I$135,0)</f>
        <v>0</v>
      </c>
      <c r="EK23" s="322">
        <f>IF($D23="Forage Crop-Soil Builder Blend",$H23*ForageCrop!$I$135,0)</f>
        <v>0</v>
      </c>
      <c r="EL23" s="1">
        <f>IF($D23="SW Winter Wheat after Spring Legume",$H23*SWWinterWheatAfterSpringLegume!$J$116,0)</f>
        <v>16129.930432071913</v>
      </c>
      <c r="EM23" s="1">
        <f>IF($D23="SW Winter Wheat after Forage Crop",$H23*SWWinterWheatAfterForageCrop!$J$116,0)</f>
        <v>0</v>
      </c>
      <c r="EN23" s="1">
        <f>IF($D23="DN Spring Wheat after Spring Legume",$H23*DNSpringWinterAfterSpringLegume!$J$116,0)</f>
        <v>0</v>
      </c>
      <c r="EO23" s="1">
        <f>IF($D23="DN Spring Wheat after Forage Crop",$H23*DNSpringWheatAfterForageCrop!$J$116,0)</f>
        <v>0</v>
      </c>
      <c r="EP23" s="1">
        <f>IF($D23="DN Spring Wheat after Winter Crop",$H23*DNSpringWheatAfterWinterCrop!$J$116,0)</f>
        <v>0</v>
      </c>
      <c r="EQ23" s="1">
        <f>IF($D23="Chickpea after Forage Crop",$H23*ChickpeaAfterForageCrop!$J$116,0)</f>
        <v>0</v>
      </c>
      <c r="ER23" s="1">
        <f>IF($D23="Chickpea after Cereal",$H23*ChickpeaAfterCereal!$J$116,0)</f>
        <v>0</v>
      </c>
      <c r="ES23" s="1">
        <f>IF($D23="Spring Pea after Cereal",$H23*SpringPeaAfterCereal!$J$116,0)</f>
        <v>0</v>
      </c>
      <c r="ET23" s="1">
        <f>IF($D23="Forage Crop-St. John Area",$H23*'ForageCrop-StJohn'!$J$116,0)</f>
        <v>0</v>
      </c>
      <c r="EU23" s="1">
        <f>IF($D23="Forage Crop-Genesee Area",$H23*'ForageCrop-Genesee'!$J$116,0)</f>
        <v>0</v>
      </c>
      <c r="EV23" s="1">
        <f>IF($D23="Livestock Grazing",$H23*LivestockGrazing!$J$116,0)</f>
        <v>0</v>
      </c>
      <c r="EW23" s="1">
        <f>IF($D23="SW Winter Wheat after Cereal",$H23*SWWinterWheatafterCereal!$J$116,0)</f>
        <v>0</v>
      </c>
      <c r="EX23" s="1">
        <f>IF($D23="SW Winter Wheat after Fallow",$H23*SWWinterWheatAfterFallow!$J$116,0)</f>
        <v>0</v>
      </c>
      <c r="EY23" s="1">
        <f>IF($D23="Chem-Fallow",$H23*'Chem-Fallow'!$J$116,0)</f>
        <v>0</v>
      </c>
      <c r="EZ23" s="1">
        <f>IF($D23="Flex-Fallow",$H23*'Flex-Fallow'!$J$116,0)</f>
        <v>0</v>
      </c>
      <c r="FA23" s="1">
        <f>IF($D23="Spring Barley",$H23*SpringBarley!$J$116,0)</f>
        <v>0</v>
      </c>
      <c r="FB23" s="1">
        <f>IF($D23="Roundup Ready Spring Canola",$H23*'SpringCanola_R-Ready'!$J$116,0)</f>
        <v>0</v>
      </c>
      <c r="FC23" s="1">
        <f>IF($D23="Spring Canola",$H23*SpringCanola!$J$116,0)</f>
        <v>0</v>
      </c>
      <c r="FD23" s="1">
        <f>IF($D23="Spring Lentils",$H23*SpringLentils!$J$116,0)</f>
        <v>0</v>
      </c>
      <c r="FE23" s="1">
        <f>IF($D23="SW Spring Wheat",$H23*SWSpringWheat!$J$116,0)</f>
        <v>0</v>
      </c>
      <c r="FF23" s="1">
        <f>IF($D23="HR Winter Wheat",$H23*HRWinterWheat!$J$116,0)</f>
        <v>0</v>
      </c>
      <c r="FG23" s="1">
        <f>IF($D23="Winter Pea",$H23*WinterPea!$J$116,0)</f>
        <v>0</v>
      </c>
      <c r="FH23" s="1">
        <f>IF($D23="Winter Canola",$H23*WinterCanola!$J$116,0)</f>
        <v>0</v>
      </c>
      <c r="FI23" s="322">
        <f>IF($D23="Forage Crop-Soil Builder Blend",$H23*ForageCrop!$J$116,0)</f>
        <v>0</v>
      </c>
      <c r="FJ23" s="1">
        <f>IF($D23="SW Winter Wheat after Spring Legume",$H23*SWWinterWheatAfterSpringLegume!$J$117,0)</f>
        <v>37921.401983080374</v>
      </c>
      <c r="FK23" s="1">
        <f>IF($D23="SW Winter Wheat after Forage Crop",$H23*SWWinterWheatAfterForageCrop!$J$117,0)</f>
        <v>0</v>
      </c>
      <c r="FL23" s="1">
        <f>IF($D23="DN Spring Wheat after Spring Legume",$H23*DNSpringWinterAfterSpringLegume!$J$117,0)</f>
        <v>0</v>
      </c>
      <c r="FM23" s="1">
        <f>IF($D23="DN Spring Wheat after Forage Crop",$H23*DNSpringWheatAfterForageCrop!$J$117,0)</f>
        <v>0</v>
      </c>
      <c r="FN23" s="1">
        <f>IF($D23="DN Spring Wheat after Winter Crop",$H23*DNSpringWheatAfterWinterCrop!$J$117,0)</f>
        <v>0</v>
      </c>
      <c r="FO23" s="1">
        <f>IF($D23="Chickpea after Forage Crop",$H23*ChickpeaAfterForageCrop!$J$117,0)</f>
        <v>0</v>
      </c>
      <c r="FP23" s="1">
        <f>IF($D23="Chickpea after Cereal",$H23*ChickpeaAfterCereal!$J$117,0)</f>
        <v>0</v>
      </c>
      <c r="FQ23" s="1">
        <f>IF($D23="Spring Pea after Cereal",$H23*SpringPeaAfterCereal!$J$117,0)</f>
        <v>0</v>
      </c>
      <c r="FR23" s="1">
        <f>IF($D23="Forage Crop-St. John Area",$H23*'ForageCrop-StJohn'!$J$117,0)</f>
        <v>0</v>
      </c>
      <c r="FS23" s="1">
        <f>IF($D23="Forage Crop-Genesee Area",$H23*'ForageCrop-Genesee'!$J$117,0)</f>
        <v>0</v>
      </c>
      <c r="FT23" s="1">
        <f>IF($D23="Livestock Grazing",$H23*LivestockGrazing!$J$117,0)</f>
        <v>0</v>
      </c>
      <c r="FU23" s="1">
        <f>IF($D23="SW Winter Wheat after Cereal",$H23*SWWinterWheatafterCereal!$J$117,0)</f>
        <v>0</v>
      </c>
      <c r="FV23" s="1">
        <f>IF($D23="SW Winter Wheat after Fallow",$H23*SWWinterWheatAfterFallow!$J$117,0)</f>
        <v>0</v>
      </c>
      <c r="FW23" s="1">
        <f>IF($D23="Chem-Fallow",$H23*'Chem-Fallow'!$J$117,0)</f>
        <v>0</v>
      </c>
      <c r="FX23" s="1">
        <f>IF($D23="Flex-Fallow",$H23*'Flex-Fallow'!$J$117,0)</f>
        <v>0</v>
      </c>
      <c r="FY23" s="1">
        <f>IF($D23="Spring Barley",$H23*SpringBarley!$J$117,0)</f>
        <v>0</v>
      </c>
      <c r="FZ23" s="1">
        <f>IF($D23="Roundup Ready Spring Canola",$H23*'SpringCanola_R-Ready'!$J$117,0)</f>
        <v>0</v>
      </c>
      <c r="GA23" s="1">
        <f>IF($D23="Spring Canola",$H23*SpringCanola!$J$117,0)</f>
        <v>0</v>
      </c>
      <c r="GB23" s="1">
        <f>IF($D23="Spring Lentils",$H23*SpringLentils!$J$117,0)</f>
        <v>0</v>
      </c>
      <c r="GC23" s="1">
        <f>IF($D23="SW Spring Wheat",$H23*SWSpringWheat!$J$117,0)</f>
        <v>0</v>
      </c>
      <c r="GD23" s="1">
        <f>IF($D23="HR Winter Wheat",$H23*HRWinterWheat!$J$117,0)</f>
        <v>0</v>
      </c>
      <c r="GE23" s="1">
        <f>IF($D23="Winter Pea",$H23*WinterPea!$J$117,0)</f>
        <v>0</v>
      </c>
      <c r="GF23" s="1">
        <f>IF($D23="Winter Canola",$H23*WinterCanola!$J$117,0)</f>
        <v>0</v>
      </c>
      <c r="GG23" s="322">
        <f>IF($D23="Forage Crop-Soil Builder Blend",$H23*ForageCrop!$J$117,0)</f>
        <v>0</v>
      </c>
      <c r="GH23" s="1">
        <f>IF($D23="SW Winter Wheat after Spring Legume",$H23*SWWinterWheatAfterSpringLegume!$M$118,0)</f>
        <v>15009.329692479749</v>
      </c>
      <c r="GI23" s="1">
        <f>IF($D23="SW Winter Wheat after Forage Crop",$H23*SWWinterWheatAfterForageCrop!$M$118,0)</f>
        <v>0</v>
      </c>
      <c r="GJ23" s="1">
        <f>IF($D23="DN Spring Wheat after Spring Legume",$H23*DNSpringWinterAfterSpringLegume!$M$118,0)</f>
        <v>0</v>
      </c>
      <c r="GK23" s="1">
        <f>IF($D23="DN Spring Wheat after Forage Crop",$H23*DNSpringWheatAfterForageCrop!$M$118,0)</f>
        <v>0</v>
      </c>
      <c r="GL23" s="1">
        <f>IF($D23="DN Spring Wheat after Winter Crop",$H23*DNSpringWheatAfterWinterCrop!$M$118,0)</f>
        <v>0</v>
      </c>
      <c r="GM23" s="1">
        <f>IF($D23="Chickpea after Forage Crop",$H23*ChickpeaAfterForageCrop!$M$118,0)</f>
        <v>0</v>
      </c>
      <c r="GN23" s="1">
        <f>IF($D23="Chickpea after Cereal",$H23*ChickpeaAfterCereal!$M$118,0)</f>
        <v>0</v>
      </c>
      <c r="GO23" s="1">
        <f>IF($D23="Spring Pea after Cereal",$H23*SpringPeaAfterCereal!$M$118,0)</f>
        <v>0</v>
      </c>
      <c r="GP23" s="1">
        <f>IF($D23="Forage Crop-St. John Area",$H23*'ForageCrop-StJohn'!$M$118,0)</f>
        <v>0</v>
      </c>
      <c r="GQ23" s="1">
        <f>IF($D23="Forage Crop-Genesee Area",$H23*'ForageCrop-Genesee'!$M$118,0)</f>
        <v>0</v>
      </c>
      <c r="GR23" s="1">
        <f>IF($D23="Livestock Grazing",$H23*LivestockGrazing!$M$118,0)</f>
        <v>0</v>
      </c>
      <c r="GS23" s="1">
        <f>IF($D23="SW Winter Wheat after Cereal",$H23*SWWinterWheatafterCereal!$M$118,0)</f>
        <v>0</v>
      </c>
      <c r="GT23" s="1">
        <f>IF($D23="SW Winter Wheat after Fallow",$H23*SWWinterWheatAfterFallow!$M$118,0)</f>
        <v>0</v>
      </c>
      <c r="GU23" s="1">
        <f>IF($D23="Chem-Fallow",$H23*'Chem-Fallow'!$M$118,0)</f>
        <v>0</v>
      </c>
      <c r="GV23" s="1">
        <f>IF($D23="Flex-Fallow",$H23*'Flex-Fallow'!$M$118,0)</f>
        <v>0</v>
      </c>
      <c r="GW23" s="1">
        <f>IF($D23="Spring Barley",$H23*SpringBarley!$M$118,0)</f>
        <v>0</v>
      </c>
      <c r="GX23" s="1">
        <f>IF($D23="Roundup Ready Spring Canola",$H23*'SpringCanola_R-Ready'!$M$118,0)</f>
        <v>0</v>
      </c>
      <c r="GY23" s="1">
        <f>IF($D23="Spring Canola",$H23*SpringCanola!$M$118,0)</f>
        <v>0</v>
      </c>
      <c r="GZ23" s="1">
        <f>IF($D23="Spring Lentils",$H23*SpringLentils!$M$118,0)</f>
        <v>0</v>
      </c>
      <c r="HA23" s="1">
        <f>IF($D23="SW Spring Wheat",$H23*SWSpringWheat!$M$118,0)</f>
        <v>0</v>
      </c>
      <c r="HB23" s="1">
        <f>IF($D23="HR Winter Wheat",$H23*HRWinterWheat!$M$118,0)</f>
        <v>0</v>
      </c>
      <c r="HC23" s="1">
        <f>IF($D23="Winter Pea",$H23*WinterPea!$M$118,0)</f>
        <v>0</v>
      </c>
      <c r="HD23" s="1">
        <f>IF($D23="Winter Canola",$H23*WinterCanola!$M$118,0)</f>
        <v>0</v>
      </c>
      <c r="HE23" s="322">
        <f>IF($D23="Forage Crop-Soil Builder Blend",$H23*ForageCrop!$M$118,0)</f>
        <v>0</v>
      </c>
      <c r="HF23" s="1">
        <f>IF($D23="SW Winter Wheat after Spring Legume",($H23*(SUM(SWWinterWheatAfterSpringLegume!$E$9:$E$16)+SWWinterWheatAfterSpringLegume!$G$16))/2000,0)</f>
        <v>79.2</v>
      </c>
      <c r="HG23" s="1">
        <f>IF($D23="SW Winter Wheat after Forage Crop",($H23*(SUM(SWWinterWheatAfterForageCrop!$E$9:$E$16)+SWWinterWheatAfterForageCrop!$G$17))/2000,0)</f>
        <v>0</v>
      </c>
      <c r="HH23" s="1">
        <f>IF($D23="DN Spring Wheat after Spring Legume",($H23*(SUM(DNSpringWinterAfterSpringLegume!$E$9:$E$16)+DNSpringWinterAfterSpringLegume!$G$16))/2000,0)</f>
        <v>0</v>
      </c>
      <c r="HI23" s="1">
        <f>IF($D23="DN Spring Wheat after Forage Crop",($H23*(SUM(DNSpringWheatAfterForageCrop!$E$9:$E$16)+DNSpringWheatAfterForageCrop!$G$14))/2000,0)</f>
        <v>0</v>
      </c>
      <c r="HJ23" s="1">
        <f>IF($D23="DN Spring Wheat after Winter Crop",($H23*(SUM(DNSpringWheatAfterWinterCrop!$E$9:$E$16)+DNSpringWheatAfterWinterCrop!$G$16))/2000,0)</f>
        <v>0</v>
      </c>
      <c r="HK23" s="1">
        <f>IF($D23="Chickpea after Forage Crop",($H23*(SUM(ChickpeaAfterForageCrop!$E$9:$E$16)+ChickpeaAfterForageCrop!$G$14))/2000,0)</f>
        <v>0</v>
      </c>
      <c r="HL23" s="1">
        <f>IF($D23="Chickpea after Cereal",($H23*(SUM(ChickpeaAfterCereal!$E$9:$E$16)+ChickpeaAfterCereal!$G$14))/2000,0)</f>
        <v>0</v>
      </c>
      <c r="HM23" s="1">
        <f>IF($D23="Spring Pea after Cereal",($H23*(SUM(SpringPeaAfterCereal!$E$9:$E$16)+SpringPeaAfterCereal!$G$14))/2000,0)</f>
        <v>0</v>
      </c>
      <c r="HN23" s="1">
        <f>IF($D23="Forage Crop-St. John Area",($H23*(SUM('ForageCrop-StJohn'!$E$9:$E$16)+'ForageCrop-StJohn'!$G$14))/2000,0)</f>
        <v>0</v>
      </c>
      <c r="HO23" s="1">
        <f>IF($D23="Forage Crop-Genesee Area",($H23*(SUM('ForageCrop-Genesee'!$E$9:$E$16)+'ForageCrop-Genesee'!$G$14))/2000,0)</f>
        <v>0</v>
      </c>
      <c r="HP23" s="1">
        <f>IF($D23="Livestock Grazing",($H23*(SUM(LivestockGrazing!$E$9:$E$16)+LivestockGrazing!$G$14))/2000,0)</f>
        <v>0</v>
      </c>
      <c r="HQ23" s="1">
        <f>IF($D23="SW Winter Wheat after Cereal",($H23*(SUM(SWWinterWheatafterCereal!$E$9:$E$16)+SWWinterWheatafterCereal!$G$16))/2000,0)</f>
        <v>0</v>
      </c>
      <c r="HR23" s="1">
        <f>IF($D23="SW Winter Wheat after Fallow",($H23*(SUM(SWWinterWheatAfterFallow!$E$9:$E$16)+SWWinterWheatAfterFallow!$G$14))/2000,0)</f>
        <v>0</v>
      </c>
      <c r="HS23" s="1">
        <f>IF($D23="Chem-Fallow",($H23*(SUM('Chem-Fallow'!$E$9:$E$16)+'Chem-Fallow'!$G$16))/2000,0)</f>
        <v>0</v>
      </c>
      <c r="HT23" s="1">
        <f>IF($D23="Flex-Fallow",($H23*(SUM('Flex-Fallow'!$E$9:$E$16)+'Flex-Fallow'!$G$16))/2000,0)</f>
        <v>0</v>
      </c>
      <c r="HU23" s="1">
        <f>IF($D23="Spring Barley",($H23*(SUM(SpringBarley!$E$9:$E$16)+SpringBarley!$G$16))/2000,0)</f>
        <v>0</v>
      </c>
      <c r="HV23" s="1">
        <f>IF($D23="Roundup Ready Spring Canola",($H23*(SUM('SpringCanola_R-Ready'!$E$9:$E$16)+'SpringCanola_R-Ready'!$G$14))/2000,0)</f>
        <v>0</v>
      </c>
      <c r="HW23" s="1">
        <f>IF($D23="Spring Canola",($H23*(SUM(SpringCanola!$E$9:$E$16)+SpringCanola!$G$14))/2000,0)</f>
        <v>0</v>
      </c>
      <c r="HX23" s="1">
        <f>IF($D23="Spriing Lentils",($H23*(SUM(SpringLentils!$E$9:$E$16)+SpringLentils!$G$14))/2000,0)</f>
        <v>0</v>
      </c>
      <c r="HY23" s="1">
        <f>IF($D23="SW Spring Wheat",($H23*(SUM(SWSpringWheat!$E$9:$E$16)+SWSpringWheat!$G$18))/2000,0)</f>
        <v>0</v>
      </c>
      <c r="HZ23" s="1">
        <f>IF($D23="HR Winter Wheat",($H23*(SUM(HRWinterWheat!$E$9:$E$16)+HRWinterWheat!$G$16))/2000,0)</f>
        <v>0</v>
      </c>
      <c r="IA23" s="1">
        <f>IF($D23="Winter Pea",($H23*(SUM(WinterPea!$E$9:$E$16)+WinterPea!$G$14))/2000,0)</f>
        <v>0</v>
      </c>
      <c r="IB23" s="1">
        <f>IF($D23="Winter Canola",($H23*(SUM(WinterCanola!$E$9:$E$16)+WinterCanola!$G$14))/2000,0)</f>
        <v>0</v>
      </c>
      <c r="IC23" s="322">
        <f>IF($D23="Forage Crop-Soil Builder Blend",($H23*(SUM(ForageCrop!$E$9:$E$16)+ForageCrop!$G$14))/2000,0)</f>
        <v>0</v>
      </c>
      <c r="ID23" s="1">
        <f>IF($D23="SW Winter Wheat after Spring Legume",$H23*SWWinterWheatAfterSpringLegume!$G$62,0)</f>
        <v>592.578125</v>
      </c>
      <c r="IE23" s="1">
        <f>IF($D23="SW Winter Wheat after Forage Crop",$H23*SWWinterWheatAfterForageCrop!$G$62,0)</f>
        <v>0</v>
      </c>
      <c r="IF23" s="1">
        <f>IF($D23="DN Spring Wheat after Spring Legume",$H23*DNSpringWinterAfterSpringLegume!$G$62,0)</f>
        <v>0</v>
      </c>
      <c r="IG23" s="1">
        <f>IF($D23="DN Spring Wheat after Forage Crop",$H23*DNSpringWheatAfterForageCrop!$G$62,0)</f>
        <v>0</v>
      </c>
      <c r="IH23" s="1">
        <f>IF($D23="DN Spring Wheat after Winter Crop",$H23*DNSpringWheatAfterWinterCrop!$G$62,0)</f>
        <v>0</v>
      </c>
      <c r="II23" s="1">
        <f>IF($D23="Chickpea after Forage Crop",$H23*ChickpeaAfterForageCrop!$G$62,0)</f>
        <v>0</v>
      </c>
      <c r="IJ23" s="1">
        <f>IF($D23="Chickpea after Cereal",$H23*ChickpeaAfterCereal!$G$62,0)</f>
        <v>0</v>
      </c>
      <c r="IK23" s="1">
        <f>IF($D23="Spring Pea after Cereal",$H23*SpringPeaAfterCereal!$G$62,0)</f>
        <v>0</v>
      </c>
      <c r="IL23" s="1">
        <f>IF($D23="Forage Crop-St. John Area",$H23*'ForageCrop-StJohn'!$G$62,0)</f>
        <v>0</v>
      </c>
      <c r="IM23" s="1">
        <f>IF($D23="Forage Crop-Genesee Area",$H23*'ForageCrop-Genesee'!$G$62,0)</f>
        <v>0</v>
      </c>
      <c r="IN23" s="1">
        <f>IF($D23="Livestock Grazing",$H23*LivestockGrazing!$G$62,0)</f>
        <v>0</v>
      </c>
      <c r="IO23" s="1">
        <f>IF($D23="SW Winter Wheat after Cereal",$H23*SWWinterWheatafterCereal!$G$62,0)</f>
        <v>0</v>
      </c>
      <c r="IP23" s="1">
        <f>IF($D23="SW Winter Wheat after Fallow",$H23*SWWinterWheatAfterFallow!$G$62,0)</f>
        <v>0</v>
      </c>
      <c r="IQ23" s="1">
        <f>IF($D23="Chem-Fallow",$H23*'Chem-Fallow'!$G$62,0)</f>
        <v>0</v>
      </c>
      <c r="IR23" s="1">
        <f>IF($D23="Flex-Fallow",$H23*'Flex-Fallow'!$G$62,0)</f>
        <v>0</v>
      </c>
      <c r="IS23" s="1">
        <f>IF($D23="Spring Barley",$H23*SpringBarley!$G$62,0)</f>
        <v>0</v>
      </c>
      <c r="IT23" s="1">
        <f>IF($D23="Roundup Ready Spring Canola",$H23*'SpringCanola_R-Ready'!$G$62,0)</f>
        <v>0</v>
      </c>
      <c r="IU23" s="1">
        <f>IF($D23="Spring Canola",$H23*SpringCanola!$G$62,0)</f>
        <v>0</v>
      </c>
      <c r="IV23" s="1">
        <f>IF($D23="Spriing Lentils",$H23*SpringLentils!$G$62,0)</f>
        <v>0</v>
      </c>
      <c r="IW23" s="1">
        <f>IF($D23="SW Spring Wheat",$H23*SWSpringWheat!$G$62,0)</f>
        <v>0</v>
      </c>
      <c r="IX23" s="1">
        <f>IF($D23="HR Winter Wheat",$H23*HRWinterWheat!$G$62,0)</f>
        <v>0</v>
      </c>
      <c r="IY23" s="1">
        <f>IF($D23="Winter Pea",$H23*WinterPea!$G$62,0)</f>
        <v>0</v>
      </c>
      <c r="IZ23" s="1">
        <f>IF($D23="Winter Canola",$H23*+WinterCanola!$G$62,0)</f>
        <v>0</v>
      </c>
      <c r="JA23" s="1">
        <f>IF($D23="Forage Crop-Soil Builder Blend",$H23*ForageCrop!$G$62,0)</f>
        <v>0</v>
      </c>
      <c r="JB23" s="1">
        <f>IF($D23="SW Winter Wheat after Spring Legume",$H23*'Prices_Yields&amp;SeedInputs'!G5,0)</f>
        <v>94000</v>
      </c>
      <c r="JC23" s="1">
        <f>IF($D23="SW Winter Wheat after Forage Crop",$H23*'Prices_Yields&amp;SeedInputs'!G6,0)</f>
        <v>0</v>
      </c>
      <c r="JD23" s="1">
        <f>IF($D23="DN Spring Wheat after Spring Legume",$H23*'Prices_Yields&amp;SeedInputs'!$G$7,0)</f>
        <v>0</v>
      </c>
      <c r="JE23" s="1">
        <f>IF($D23="DN Spring Wheat after Forage Crop",$H23*'Prices_Yields&amp;SeedInputs'!$G$8,0)</f>
        <v>0</v>
      </c>
      <c r="JF23" s="1">
        <f>IF($D23="DN Spring Wheat after Winter Crop",$H23*'Prices_Yields&amp;SeedInputs'!$G$9,0)</f>
        <v>0</v>
      </c>
      <c r="JG23" s="1">
        <f>IF($D23="Chickpea after Forage Crop",$H23*'Prices_Yields&amp;SeedInputs'!$G$10,0)</f>
        <v>0</v>
      </c>
      <c r="JH23" s="1">
        <f>IF($D23="Chickpea after Cereal",$H23*'Prices_Yields&amp;SeedInputs'!$G$11,0)</f>
        <v>0</v>
      </c>
      <c r="JI23" s="1">
        <f>IF($D23="Spring Pea after Cereal",$H23*'Prices_Yields&amp;SeedInputs'!$G$12,0)</f>
        <v>0</v>
      </c>
      <c r="JJ23" s="1">
        <f>IF($D23="Forage Crop-St. John Area",$H23*'Prices_Yields&amp;SeedInputs'!$G$13,0)</f>
        <v>0</v>
      </c>
      <c r="JK23" s="1">
        <f>IF($D23="Forage Crop-Genesee Area",$H23*'Prices_Yields&amp;SeedInputs'!$G$14,0)</f>
        <v>0</v>
      </c>
      <c r="JL23" s="1">
        <f>IF($D23="Livestock Grazing",$H23*'Prices_Yields&amp;SeedInputs'!$G$15,0)</f>
        <v>0</v>
      </c>
      <c r="JM23" s="1">
        <f>IF($D23="SW Winter Wheat after Cereal",$H23*'Prices_Yields&amp;SeedInputs'!$G$16,0)</f>
        <v>0</v>
      </c>
      <c r="JN23" s="1">
        <f>IF($D23="SW Winter Wheat after Fallow",$H23*'Prices_Yields&amp;SeedInputs'!$G$17,0)</f>
        <v>0</v>
      </c>
      <c r="JO23" s="1">
        <f>IF($D23="Chem-Fallow",$H23*'Prices_Yields&amp;SeedInputs'!$G$18,0)</f>
        <v>0</v>
      </c>
      <c r="JP23" s="1">
        <f>IF($D23="Flex-Fallow",$H23*'Prices_Yields&amp;SeedInputs'!$G$19,0)</f>
        <v>0</v>
      </c>
      <c r="JQ23" s="1">
        <f>IF($D23="Spring Barley",$H23*'Prices_Yields&amp;SeedInputs'!$G$20,0)</f>
        <v>0</v>
      </c>
      <c r="JR23" s="1">
        <f>IF($D23="Roundup Ready Spring Canola",$H23*'Prices_Yields&amp;SeedInputs'!$G$21,0)</f>
        <v>0</v>
      </c>
      <c r="JS23" s="1">
        <f>IF($D23="Spring Canola",$H23*'Prices_Yields&amp;SeedInputs'!$G$22,0)</f>
        <v>0</v>
      </c>
      <c r="JT23" s="1">
        <f>IF($D23="Spriing Lentils",$H23*'Prices_Yields&amp;SeedInputs'!$G$23,0)</f>
        <v>0</v>
      </c>
      <c r="JU23" s="1">
        <f>IF($D23="SW Spring Wheat",$H23*'Prices_Yields&amp;SeedInputs'!$G$24,0)</f>
        <v>0</v>
      </c>
      <c r="JV23" s="1">
        <f>IF($D23="HR Winter Wheat",$H23*'Prices_Yields&amp;SeedInputs'!$G$25,0)</f>
        <v>0</v>
      </c>
      <c r="JW23" s="1">
        <f>IF($D23="Winter Pea",$H23*'Prices_Yields&amp;SeedInputs'!$G$26,0)</f>
        <v>0</v>
      </c>
      <c r="JX23" s="1">
        <f>IF($D23="Winter Canola",$H23*'Prices_Yields&amp;SeedInputs'!$G$27,0)</f>
        <v>0</v>
      </c>
      <c r="JY23" s="1">
        <f>IF($D23="Forage Crop-Soil Builder Blend",$H23*'Prices_Yields&amp;SeedInputs'!$G$28,0)</f>
        <v>0</v>
      </c>
    </row>
    <row r="24" spans="1:285" ht="20" customHeight="1">
      <c r="A24" s="3"/>
      <c r="B24" s="607"/>
      <c r="C24" s="564">
        <v>2</v>
      </c>
      <c r="D24" s="565" t="s">
        <v>382</v>
      </c>
      <c r="E24" s="559">
        <v>0.3</v>
      </c>
      <c r="F24" s="560">
        <f>IF(D24="Livestock Grazing",0,E24)</f>
        <v>0.3</v>
      </c>
      <c r="G24" s="561">
        <f>IF(D24="Livestock Grazing",0,$I$2*E24)</f>
        <v>750</v>
      </c>
      <c r="H24" s="562">
        <f>$I$2*E24</f>
        <v>750</v>
      </c>
      <c r="I24" s="563">
        <f>SUM(AT24:BQ24)</f>
        <v>-69.472865770805427</v>
      </c>
      <c r="J24" s="140"/>
      <c r="K24" s="140"/>
      <c r="L24" s="140"/>
      <c r="M24" s="140"/>
      <c r="N24" s="5"/>
      <c r="O24" s="197"/>
      <c r="Q24" s="197"/>
      <c r="R24" s="140"/>
      <c r="S24" s="140"/>
      <c r="T24" s="140"/>
      <c r="V24" s="1">
        <f>IF($D24="SW Winter Wheat after Spring Legume",$H24,0)</f>
        <v>0</v>
      </c>
      <c r="W24" s="1">
        <f>IF($D24="SW Winter Wheat after Forage Crop",$H24,0)</f>
        <v>0</v>
      </c>
      <c r="X24" s="1">
        <f>IF($D24="DN Spring Wheat after Spring Legume",$H24,0)</f>
        <v>0</v>
      </c>
      <c r="Y24" s="1">
        <f>IF($D24="DN Spring Wheat after Forage Crop",$H24,0)</f>
        <v>0</v>
      </c>
      <c r="Z24" s="1">
        <f>IF($D24="DN Spring Wheat after Winter Crop",$H24,0)</f>
        <v>0</v>
      </c>
      <c r="AA24" s="1">
        <f>IF($D24="Chickpea after Forage Crop",$H24,0)</f>
        <v>0</v>
      </c>
      <c r="AB24" s="1">
        <f>IF($D24="Chickpea after Cereal",$H24,0)</f>
        <v>0</v>
      </c>
      <c r="AC24" s="1">
        <f>IF($D24="Spring Pea after Cereal",$H24,0)</f>
        <v>0</v>
      </c>
      <c r="AD24" s="1">
        <f>IF($D24="Forage Crop-St. John Area",$H24,0)</f>
        <v>0</v>
      </c>
      <c r="AE24" s="1">
        <f>IF($D24="Forage Crop-Genesee Area",$H24,0)</f>
        <v>750</v>
      </c>
      <c r="AF24" s="1">
        <f>IF($D24="Livestock Grazing",$H24,0)</f>
        <v>0</v>
      </c>
      <c r="AG24" s="1">
        <f>IF($D24="SW Winter Wheat after Cereal",$H24,0)</f>
        <v>0</v>
      </c>
      <c r="AH24" s="1">
        <f>IF($D24="SW Winter Wheat after Fallow",$H24,0)</f>
        <v>0</v>
      </c>
      <c r="AI24" s="1">
        <f>IF($D24="Chem-Fallow",$H24,0)</f>
        <v>0</v>
      </c>
      <c r="AJ24" s="1">
        <f>IF($D24="Flex-Fallow",$H24,0)</f>
        <v>0</v>
      </c>
      <c r="AK24" s="1">
        <f>IF($D24="Spring Barley",$H24,0)</f>
        <v>0</v>
      </c>
      <c r="AL24" s="1">
        <f>IF($D24="Roundup Ready Spring Canola",$H24,0)</f>
        <v>0</v>
      </c>
      <c r="AM24" s="1">
        <f>IF($D24="Spring Canola",$H24,0)</f>
        <v>0</v>
      </c>
      <c r="AN24" s="1">
        <f>IF($D24="Spring Lentils",$H24,0)</f>
        <v>0</v>
      </c>
      <c r="AO24" s="1">
        <f>IF($D24="SW Spring Wheat",$H24,0)</f>
        <v>0</v>
      </c>
      <c r="AP24" s="1">
        <f>IF($D24="HR Winter Wheat",$H24,0)</f>
        <v>0</v>
      </c>
      <c r="AQ24" s="1">
        <f>IF($D24="Winter Pea",$H24,0)</f>
        <v>0</v>
      </c>
      <c r="AR24" s="1">
        <f>IF($D24="Winter Canola",$H24,0)</f>
        <v>0</v>
      </c>
      <c r="AS24" s="322">
        <f>IF($D24="Forage Crop-Soil Builder Blend",$H24,0)</f>
        <v>0</v>
      </c>
      <c r="AT24" s="1">
        <f>IF($D24="SW Winter Wheat after Spring Legume",SWWinterWheatAfterSpringLegume!$I$138,0)</f>
        <v>0</v>
      </c>
      <c r="AU24" s="1">
        <f>IF($D24="SW Winter Wheat after Forage Crop",SWWinterWheatAfterForageCrop!$I$138,0)</f>
        <v>0</v>
      </c>
      <c r="AV24" s="1">
        <f>IF($D24="DN Spring Wheat after Spring Legume",DNSpringWinterAfterSpringLegume!$I$138,0)</f>
        <v>0</v>
      </c>
      <c r="AW24" s="1">
        <f>IF($D24="DN Spring Wheat after Forage Crop",DNSpringWheatAfterForageCrop!$I$138,0)</f>
        <v>0</v>
      </c>
      <c r="AX24" s="1">
        <f>IF($D24="DN Spring Wheat after Winter Crop",DNSpringWheatAfterWinterCrop!$I$138,0)</f>
        <v>0</v>
      </c>
      <c r="AY24" s="1">
        <f>IF($D24="Chickpea after Forage Crop",ChickpeaAfterForageCrop!$I$138,0)</f>
        <v>0</v>
      </c>
      <c r="AZ24" s="1">
        <f>IF($D24="Chickpea after Cereal",ChickpeaAfterCereal!$I$138,0)</f>
        <v>0</v>
      </c>
      <c r="BA24" s="1">
        <f>IF($D24="Spring Pea after Cereal",SpringPeaAfterCereal!$I$138,0)</f>
        <v>0</v>
      </c>
      <c r="BB24" s="1">
        <f>IF($D24="Forage Crop-St. John Area",'ForageCrop-StJohn'!$I$138,0)</f>
        <v>0</v>
      </c>
      <c r="BC24" s="1">
        <f>IF($D24="Forage Crop-Genesee Area",'ForageCrop-Genesee'!$I$138,0)</f>
        <v>-69.472865770805427</v>
      </c>
      <c r="BD24" s="1">
        <f>IF($D24="Livestock Grazing",LivestockGrazing!$I$138,0)</f>
        <v>0</v>
      </c>
      <c r="BE24" s="1">
        <f>IF($D24="SW Winter Wheat after Cereal",SWWinterWheatafterCereal!$I$138,0)</f>
        <v>0</v>
      </c>
      <c r="BF24" s="1">
        <f>IF($D24="SW Winter Wheat after Fallow",SWWinterWheatAfterFallow!$I$138,0)</f>
        <v>0</v>
      </c>
      <c r="BG24" s="1">
        <f>IF($D24="Chem-Fallow",'Chem-Fallow'!$I$138,0)</f>
        <v>0</v>
      </c>
      <c r="BH24" s="1">
        <f>IF($D24="Flex-Fallow",'Flex-Fallow'!$I$138,0)</f>
        <v>0</v>
      </c>
      <c r="BI24" s="1">
        <f>IF($D24="Spring Barley",SpringBarley!$I$138,0)</f>
        <v>0</v>
      </c>
      <c r="BJ24" s="1">
        <f>IF($D24="Roundup Ready Spring Canola",'SpringCanola_R-Ready'!$I$138,0)</f>
        <v>0</v>
      </c>
      <c r="BK24" s="1">
        <f>IF($D24="Spring Canola",SpringCanola!$I$138,0)</f>
        <v>0</v>
      </c>
      <c r="BL24" s="1">
        <f>IF($D24="Spring Lentils",SpringLentils!$I$138,0)</f>
        <v>0</v>
      </c>
      <c r="BM24" s="1">
        <f>IF($D24="SW Spring Wheat",SWSpringWheat!$I$138,0)</f>
        <v>0</v>
      </c>
      <c r="BN24" s="1">
        <f>IF($D24="HR Winter Wheat",HRWinterWheat!$I$138,0)</f>
        <v>0</v>
      </c>
      <c r="BO24" s="1">
        <f>IF($D24="Winter Pea",WinterPea!$I$138,0)</f>
        <v>0</v>
      </c>
      <c r="BP24" s="1">
        <f>IF($D24="Winter Canola",WinterCanola!$I$138,0)</f>
        <v>0</v>
      </c>
      <c r="BQ24" s="322">
        <f>IF($D24="Forage Crop-Soil Builder Blend",ForageCrop!$I$138,0)</f>
        <v>0</v>
      </c>
      <c r="BR24" s="1">
        <f>IF($D24="SW Winter Wheat after Spring Legume",H24*SWWinterWheatAfterSpringLegume!$I$138,0)</f>
        <v>0</v>
      </c>
      <c r="BS24" s="1">
        <f>IF($D24="SW Winter Wheat after Forage Crop",H24*SWWinterWheatAfterForageCrop!$I$138,0)</f>
        <v>0</v>
      </c>
      <c r="BT24" s="1">
        <f>IF($D24="DN Spring Wheat after Spring Legume",H24*DNSpringWinterAfterSpringLegume!$I$138,0)</f>
        <v>0</v>
      </c>
      <c r="BU24" s="1">
        <f>IF($D24="DN Spring Wheat after Forage Crop",H24*DNSpringWheatAfterForageCrop!$I$138,0)</f>
        <v>0</v>
      </c>
      <c r="BV24" s="1">
        <f>IF($D24="DN Spring Wheat after Winter Crop",H24*DNSpringWheatAfterWinterCrop!$I$138,0)</f>
        <v>0</v>
      </c>
      <c r="BW24" s="1">
        <f>IF($D24="Chickpea after Forage Crop",H24*ChickpeaAfterForageCrop!$I$138,0)</f>
        <v>0</v>
      </c>
      <c r="BX24" s="1">
        <f>IF($D24="Chickpea after Cereal",H24*ChickpeaAfterCereal!$I$138,0)</f>
        <v>0</v>
      </c>
      <c r="BY24" s="1">
        <f>IF($D24="Spring Pea after Cereal",H24*SpringPeaAfterCereal!$I$138,0)</f>
        <v>0</v>
      </c>
      <c r="BZ24" s="1">
        <f>IF($D24="Forage Crop-St. John Area",H24*'ForageCrop-StJohn'!$I$138,0)</f>
        <v>0</v>
      </c>
      <c r="CA24" s="1">
        <f>IF($D24="Forage Crop-Genesee Area",H24*'ForageCrop-Genesee'!$I$138,0)</f>
        <v>-52104.649328104068</v>
      </c>
      <c r="CB24" s="1">
        <f>IF($D24="Livestock Grazing",H24*LivestockGrazing!$I$138,0)</f>
        <v>0</v>
      </c>
      <c r="CC24" s="1">
        <f>IF($D24="SW Winter Wheat after Cereal",H24*SWWinterWheatafterCereal!$I$138,0)</f>
        <v>0</v>
      </c>
      <c r="CD24" s="1">
        <f>IF($D24="SW Winter Wheat after Fallow",H24*SWWinterWheatAfterFallow!$I$138,0)</f>
        <v>0</v>
      </c>
      <c r="CE24" s="1">
        <f>IF($D24="Chem-Fallow",H24*'Chem-Fallow'!$I$138,0)</f>
        <v>0</v>
      </c>
      <c r="CF24" s="1">
        <f>IF($D24="Flex-Fallow",H24*'Flex-Fallow'!$I$138,0)</f>
        <v>0</v>
      </c>
      <c r="CG24" s="1">
        <f>IF($D24="Spring Barley",H24*SpringBarley!$I$138,0)</f>
        <v>0</v>
      </c>
      <c r="CH24" s="1">
        <f>IF($D24="Roundup Ready Spring Canola",H24*'SpringCanola_R-Ready'!$I$138,0)</f>
        <v>0</v>
      </c>
      <c r="CI24" s="1">
        <f>IF($D24="Spring Canola",H24*SpringCanola!$I$138,0)</f>
        <v>0</v>
      </c>
      <c r="CJ24" s="1">
        <f>IF($D24="Spring Lentils",H24*SpringLentils!$I$138,0)</f>
        <v>0</v>
      </c>
      <c r="CK24" s="1">
        <f>IF($D24="SW Spring Wheat",H24*SWSpringWheat!$I$138,0)</f>
        <v>0</v>
      </c>
      <c r="CL24" s="1">
        <f>IF($D24="HR Winter Wheat",H24*HRWinterWheat!$I$138,0)</f>
        <v>0</v>
      </c>
      <c r="CM24" s="1">
        <f>IF($D24="Winter Pea",H24*WinterPea!$I$138,0)</f>
        <v>0</v>
      </c>
      <c r="CN24" s="1">
        <f>IF($D24="Winter Canola",H24*WinterCanola!$I$138,0)</f>
        <v>0</v>
      </c>
      <c r="CO24" s="322">
        <f>IF($D24="Forage Crop-Soil Builder Blend",H24*ForageCrop!$I$138,0)</f>
        <v>0</v>
      </c>
      <c r="CP24" s="1">
        <f>IF($D24="SW Winter Wheat after Spring Legume",H24*'Prices_Yields&amp;SeedInputs'!J$5,0)</f>
        <v>0</v>
      </c>
      <c r="CQ24" s="1">
        <f>IF($D24="SW Winter Wheat after Forage Crop",H24*'Prices_Yields&amp;SeedInputs'!J$6,0)</f>
        <v>0</v>
      </c>
      <c r="CR24" s="1">
        <f>IF($D24="DN Spring Wheat after Spring Legume",H24*'Prices_Yields&amp;SeedInputs'!J$7,0)</f>
        <v>0</v>
      </c>
      <c r="CS24" s="1">
        <f>IF($D24="DN Spring Wheat after Forage Crop",H24*'Prices_Yields&amp;SeedInputs'!J$8,0)</f>
        <v>0</v>
      </c>
      <c r="CT24" s="1">
        <f>IF($D24="DN Spring Wheat after Winter Crop",H24*'Prices_Yields&amp;SeedInputs'!J$9,0)</f>
        <v>0</v>
      </c>
      <c r="CU24" s="1">
        <f>IF($D24="Chickpea after Forage Crop",H24*'Prices_Yields&amp;SeedInputs'!J$10,0)</f>
        <v>0</v>
      </c>
      <c r="CV24" s="1">
        <f>IF($D24="Chickpea after Cereal",H24*'Prices_Yields&amp;SeedInputs'!J$11,0)</f>
        <v>0</v>
      </c>
      <c r="CW24" s="1">
        <f>IF($D24="Spring Pea after Cereal",H24*'Prices_Yields&amp;SeedInputs'!J$12,0)</f>
        <v>0</v>
      </c>
      <c r="CX24" s="1">
        <f>IF($D24="Forage Crop-St. John Area",H24*'Prices_Yields&amp;SeedInputs'!J$13,0)</f>
        <v>0</v>
      </c>
      <c r="CY24" s="1">
        <f>IF($D24="Forage Crop-Genesee Area",H24*'Prices_Yields&amp;SeedInputs'!J$14,0)</f>
        <v>47625</v>
      </c>
      <c r="CZ24" s="1">
        <f>IF($D24="Livestock Grazing",H24*'Prices_Yields&amp;SeedInputs'!J$15,0)</f>
        <v>0</v>
      </c>
      <c r="DA24" s="1">
        <f>IF($D24="SW Winter Wheat after Cereal",H24*'Prices_Yields&amp;SeedInputs'!J$16,0)</f>
        <v>0</v>
      </c>
      <c r="DB24" s="1">
        <f>IF($D24="SW Winter Wheat after Fallow",H24*'Prices_Yields&amp;SeedInputs'!J$17,0)</f>
        <v>0</v>
      </c>
      <c r="DC24" s="1">
        <f>IF($D24="Chem-Fallow",H24*'Prices_Yields&amp;SeedInputs'!J$18,0)</f>
        <v>0</v>
      </c>
      <c r="DD24" s="1">
        <f>IF($D24="Flex-Fallow",H24*'Prices_Yields&amp;SeedInputs'!J$19,0)</f>
        <v>0</v>
      </c>
      <c r="DE24" s="1">
        <f>IF($D24="Spring Barley",H24*'Prices_Yields&amp;SeedInputs'!J$20,0)</f>
        <v>0</v>
      </c>
      <c r="DF24" s="1">
        <f>IF($D24="Roundup Ready Spring Canola",H24*'Prices_Yields&amp;SeedInputs'!J$21,0)</f>
        <v>0</v>
      </c>
      <c r="DG24" s="1">
        <f>IF($D24="Spring Canola",H24*'Prices_Yields&amp;SeedInputs'!J$22,0)</f>
        <v>0</v>
      </c>
      <c r="DH24" s="1">
        <f>IF($D24="Spring Lentils",H24*'Prices_Yields&amp;SeedInputs'!J$23,0)</f>
        <v>0</v>
      </c>
      <c r="DI24" s="1">
        <f>IF($D24="SW Spring Wheat",H24*'Prices_Yields&amp;SeedInputs'!J$24,0)</f>
        <v>0</v>
      </c>
      <c r="DJ24" s="1">
        <f>IF($D24="HR Winter Wheat",H24*'Prices_Yields&amp;SeedInputs'!J$25,0)</f>
        <v>0</v>
      </c>
      <c r="DK24" s="1">
        <f>IF($D24="Winter Pea",H24*'Prices_Yields&amp;SeedInputs'!J$26,0)</f>
        <v>0</v>
      </c>
      <c r="DL24" s="1">
        <f>IF($D24="Winter Canola",H24*'Prices_Yields&amp;SeedInputs'!J$27,0)</f>
        <v>0</v>
      </c>
      <c r="DM24" s="322">
        <f>IF($D24="Forage Crop-Soil Builder Blend",H24*'Prices_Yields&amp;SeedInputs'!J$28,0)</f>
        <v>0</v>
      </c>
      <c r="DN24" s="1">
        <f>IF($D24="SW Winter Wheat after Spring Legume",$H24*SWWinterWheatAfterSpringLegume!$I$135,0)</f>
        <v>0</v>
      </c>
      <c r="DO24" s="1">
        <f>IF($D24="SW Winter Wheat after Forage Crop",$H24*SWWinterWheatAfterForageCrop!$I$135,0)</f>
        <v>0</v>
      </c>
      <c r="DP24" s="1">
        <f>IF($D24="DN Spring Wheat after Spring Legume",$H24*DNSpringWinterAfterSpringLegume!$I$135,0)</f>
        <v>0</v>
      </c>
      <c r="DQ24" s="1">
        <f>IF($D24="DN Spring Wheat after Forage Crop",$H24*DNSpringWheatAfterForageCrop!$I$135,0)</f>
        <v>0</v>
      </c>
      <c r="DR24" s="1">
        <f>IF($D24="DN Spring Wheat after Winter Crop",$H24*DNSpringWheatAfterWinterCrop!$I$135,0)</f>
        <v>0</v>
      </c>
      <c r="DS24" s="1">
        <f>IF($D24="Chickpea after Forage Crop",$H24*ChickpeaAfterForageCrop!$I$135,0)</f>
        <v>0</v>
      </c>
      <c r="DT24" s="1">
        <f>IF($D24="Chickpea after Cereal",$H24*ChickpeaAfterCereal!$I$135,0)</f>
        <v>0</v>
      </c>
      <c r="DU24" s="1">
        <f>IF($D24="Spring Pea after Cereal",$H24*SpringPeaAfterCereal!$I$135,0)</f>
        <v>0</v>
      </c>
      <c r="DV24" s="1">
        <f>IF($D24="Forage Crop-St. John Area",$H24*'ForageCrop-StJohn'!$I$135,0)</f>
        <v>0</v>
      </c>
      <c r="DW24" s="1">
        <f>IF($D24="Forage Crop-Genesee Area",$H24*'ForageCrop-Genesee'!$I$135,0)</f>
        <v>6038.2947633195636</v>
      </c>
      <c r="DX24" s="1">
        <f>IF($D24="Livestock Grazing",$H24*LivestockGrazing!$I$135,0)</f>
        <v>0</v>
      </c>
      <c r="DY24" s="1">
        <f>IF($D24="SW Winter Wheat after Cereal",$H24*SWWinterWheatafterCereal!$I$135,0)</f>
        <v>0</v>
      </c>
      <c r="DZ24" s="1">
        <f>IF($D24="SW Winter Wheat after Fallow",$H24*SWWinterWheatAfterFallow!$I$135,0)</f>
        <v>0</v>
      </c>
      <c r="EA24" s="1">
        <f>IF($D24="Chem-Fallow",$H24*'Chem-Fallow'!$I$135,0)</f>
        <v>0</v>
      </c>
      <c r="EB24" s="1">
        <f>IF($D24="Flex-Fallow",$H24*'Flex-Fallow'!$I$135,0)</f>
        <v>0</v>
      </c>
      <c r="EC24" s="1">
        <f>IF($D24="Spring Barley",$H24*SpringBarley!$I$135,0)</f>
        <v>0</v>
      </c>
      <c r="ED24" s="1">
        <f>IF($D24="Roundup Ready Spring Canola",$H24*'SpringCanola_R-Ready'!$I$135,0)</f>
        <v>0</v>
      </c>
      <c r="EE24" s="1">
        <f>IF($D24="Spring Canola",$H24*SpringCanola!$I$135,0)</f>
        <v>0</v>
      </c>
      <c r="EF24" s="1">
        <f>IF($D24="Spring Lentils",$H24*SpringLentils!$I$135,0)</f>
        <v>0</v>
      </c>
      <c r="EG24" s="1">
        <f>IF($D24="SW Spring Wheat",$H24*SWSpringWheat!$I$135,0)</f>
        <v>0</v>
      </c>
      <c r="EH24" s="1">
        <f>IF($D24="HR Winter Wheat",$H24*HRWinterWheat!$I$135,0)</f>
        <v>0</v>
      </c>
      <c r="EI24" s="1">
        <f>IF($D24="Winter Pea",$H24*WinterPea!$I$135,0)</f>
        <v>0</v>
      </c>
      <c r="EJ24" s="1">
        <f>IF($D24="Winter Canola",$H24*WinterCanola!$I$135,0)</f>
        <v>0</v>
      </c>
      <c r="EK24" s="322">
        <f>IF($D24="Forage Crop-Soil Builder Blend",$H24*ForageCrop!$I$135,0)</f>
        <v>0</v>
      </c>
      <c r="EL24" s="1">
        <f>IF($D24="SW Winter Wheat after Spring Legume",$H24*SWWinterWheatAfterSpringLegume!$J$116,0)</f>
        <v>0</v>
      </c>
      <c r="EM24" s="1">
        <f>IF($D24="SW Winter Wheat after Forage Crop",$H24*SWWinterWheatAfterForageCrop!$J$116,0)</f>
        <v>0</v>
      </c>
      <c r="EN24" s="1">
        <f>IF($D24="DN Spring Wheat after Spring Legume",$H24*DNSpringWinterAfterSpringLegume!$J$116,0)</f>
        <v>0</v>
      </c>
      <c r="EO24" s="1">
        <f>IF($D24="DN Spring Wheat after Forage Crop",$H24*DNSpringWheatAfterForageCrop!$J$116,0)</f>
        <v>0</v>
      </c>
      <c r="EP24" s="1">
        <f>IF($D24="DN Spring Wheat after Winter Crop",$H24*DNSpringWheatAfterWinterCrop!$J$116,0)</f>
        <v>0</v>
      </c>
      <c r="EQ24" s="1">
        <f>IF($D24="Chickpea after Forage Crop",$H24*ChickpeaAfterForageCrop!$J$116,0)</f>
        <v>0</v>
      </c>
      <c r="ER24" s="1">
        <f>IF($D24="Chickpea after Cereal",$H24*ChickpeaAfterCereal!$J$116,0)</f>
        <v>0</v>
      </c>
      <c r="ES24" s="1">
        <f>IF($D24="Spring Pea after Cereal",$H24*SpringPeaAfterCereal!$J$116,0)</f>
        <v>0</v>
      </c>
      <c r="ET24" s="1">
        <f>IF($D24="Forage Crop-St. John Area",$H24*'ForageCrop-StJohn'!$J$116,0)</f>
        <v>0</v>
      </c>
      <c r="EU24" s="1">
        <f>IF($D24="Forage Crop-Genesee Area",$H24*'ForageCrop-Genesee'!$J$116,0)</f>
        <v>1605.8422600488809</v>
      </c>
      <c r="EV24" s="1">
        <f>IF($D24="Livestock Grazing",$H24*LivestockGrazing!$J$116,0)</f>
        <v>0</v>
      </c>
      <c r="EW24" s="1">
        <f>IF($D24="SW Winter Wheat after Cereal",$H24*SWWinterWheatafterCereal!$J$116,0)</f>
        <v>0</v>
      </c>
      <c r="EX24" s="1">
        <f>IF($D24="SW Winter Wheat after Fallow",$H24*SWWinterWheatAfterFallow!$J$116,0)</f>
        <v>0</v>
      </c>
      <c r="EY24" s="1">
        <f>IF($D24="Chem-Fallow",$H24*'Chem-Fallow'!$J$116,0)</f>
        <v>0</v>
      </c>
      <c r="EZ24" s="1">
        <f>IF($D24="Flex-Fallow",$H24*'Flex-Fallow'!$J$116,0)</f>
        <v>0</v>
      </c>
      <c r="FA24" s="1">
        <f>IF($D24="Spring Barley",$H24*SpringBarley!$J$116,0)</f>
        <v>0</v>
      </c>
      <c r="FB24" s="1">
        <f>IF($D24="Roundup Ready Spring Canola",$H24*'SpringCanola_R-Ready'!$J$116,0)</f>
        <v>0</v>
      </c>
      <c r="FC24" s="1">
        <f>IF($D24="Spring Canola",$H24*SpringCanola!$J$116,0)</f>
        <v>0</v>
      </c>
      <c r="FD24" s="1">
        <f>IF($D24="Spring Lentils",$H24*SpringLentils!$J$116,0)</f>
        <v>0</v>
      </c>
      <c r="FE24" s="1">
        <f>IF($D24="SW Spring Wheat",$H24*SWSpringWheat!$J$116,0)</f>
        <v>0</v>
      </c>
      <c r="FF24" s="1">
        <f>IF($D24="HR Winter Wheat",$H24*HRWinterWheat!$J$116,0)</f>
        <v>0</v>
      </c>
      <c r="FG24" s="1">
        <f>IF($D24="Winter Pea",$H24*WinterPea!$J$116,0)</f>
        <v>0</v>
      </c>
      <c r="FH24" s="1">
        <f>IF($D24="Winter Canola",$H24*WinterCanola!$J$116,0)</f>
        <v>0</v>
      </c>
      <c r="FI24" s="322">
        <f>IF($D24="Forage Crop-Soil Builder Blend",$H24*ForageCrop!$J$116,0)</f>
        <v>0</v>
      </c>
      <c r="FJ24" s="1">
        <f>IF($D24="SW Winter Wheat after Spring Legume",$H24*SWWinterWheatAfterSpringLegume!$J$117,0)</f>
        <v>0</v>
      </c>
      <c r="FK24" s="1">
        <f>IF($D24="SW Winter Wheat after Forage Crop",$H24*SWWinterWheatAfterForageCrop!$J$117,0)</f>
        <v>0</v>
      </c>
      <c r="FL24" s="1">
        <f>IF($D24="DN Spring Wheat after Spring Legume",$H24*DNSpringWinterAfterSpringLegume!$J$117,0)</f>
        <v>0</v>
      </c>
      <c r="FM24" s="1">
        <f>IF($D24="DN Spring Wheat after Forage Crop",$H24*DNSpringWheatAfterForageCrop!$J$117,0)</f>
        <v>0</v>
      </c>
      <c r="FN24" s="1">
        <f>IF($D24="DN Spring Wheat after Winter Crop",$H24*DNSpringWheatAfterWinterCrop!$J$117,0)</f>
        <v>0</v>
      </c>
      <c r="FO24" s="1">
        <f>IF($D24="Chickpea after Forage Crop",$H24*ChickpeaAfterForageCrop!$J$117,0)</f>
        <v>0</v>
      </c>
      <c r="FP24" s="1">
        <f>IF($D24="Chickpea after Cereal",$H24*ChickpeaAfterCereal!$J$117,0)</f>
        <v>0</v>
      </c>
      <c r="FQ24" s="1">
        <f>IF($D24="Spring Pea after Cereal",$H24*SpringPeaAfterCereal!$J$117,0)</f>
        <v>0</v>
      </c>
      <c r="FR24" s="1">
        <f>IF($D24="Forage Crop-St. John Area",$H24*'ForageCrop-StJohn'!$J$117,0)</f>
        <v>0</v>
      </c>
      <c r="FS24" s="1">
        <f>IF($D24="Forage Crop-Genesee Area",$H24*'ForageCrop-Genesee'!$J$117,0)</f>
        <v>5963.6429006441313</v>
      </c>
      <c r="FT24" s="1">
        <f>IF($D24="Livestock Grazing",$H24*LivestockGrazing!$J$117,0)</f>
        <v>0</v>
      </c>
      <c r="FU24" s="1">
        <f>IF($D24="SW Winter Wheat after Cereal",$H24*SWWinterWheatafterCereal!$J$117,0)</f>
        <v>0</v>
      </c>
      <c r="FV24" s="1">
        <f>IF($D24="SW Winter Wheat after Fallow",$H24*SWWinterWheatAfterFallow!$J$117,0)</f>
        <v>0</v>
      </c>
      <c r="FW24" s="1">
        <f>IF($D24="Chem-Fallow",$H24*'Chem-Fallow'!$J$117,0)</f>
        <v>0</v>
      </c>
      <c r="FX24" s="1">
        <f>IF($D24="Flex-Fallow",$H24*'Flex-Fallow'!$J$117,0)</f>
        <v>0</v>
      </c>
      <c r="FY24" s="1">
        <f>IF($D24="Spring Barley",$H24*SpringBarley!$J$117,0)</f>
        <v>0</v>
      </c>
      <c r="FZ24" s="1">
        <f>IF($D24="Roundup Ready Spring Canola",$H24*'SpringCanola_R-Ready'!$J$117,0)</f>
        <v>0</v>
      </c>
      <c r="GA24" s="1">
        <f>IF($D24="Spring Canola",$H24*SpringCanola!$J$117,0)</f>
        <v>0</v>
      </c>
      <c r="GB24" s="1">
        <f>IF($D24="Spring Lentils",$H24*SpringLentils!$J$117,0)</f>
        <v>0</v>
      </c>
      <c r="GC24" s="1">
        <f>IF($D24="SW Spring Wheat",$H24*SWSpringWheat!$J$117,0)</f>
        <v>0</v>
      </c>
      <c r="GD24" s="1">
        <f>IF($D24="HR Winter Wheat",$H24*HRWinterWheat!$J$117,0)</f>
        <v>0</v>
      </c>
      <c r="GE24" s="1">
        <f>IF($D24="Winter Pea",$H24*WinterPea!$J$117,0)</f>
        <v>0</v>
      </c>
      <c r="GF24" s="1">
        <f>IF($D24="Winter Canola",$H24*WinterCanola!$J$117,0)</f>
        <v>0</v>
      </c>
      <c r="GG24" s="322">
        <f>IF($D24="Forage Crop-Soil Builder Blend",$H24*ForageCrop!$J$117,0)</f>
        <v>0</v>
      </c>
      <c r="GH24" s="1">
        <f>IF($D24="SW Winter Wheat after Spring Legume",$H24*SWWinterWheatAfterSpringLegume!$M$118,0)</f>
        <v>0</v>
      </c>
      <c r="GI24" s="1">
        <f>IF($D24="SW Winter Wheat after Forage Crop",$H24*SWWinterWheatAfterForageCrop!$M$118,0)</f>
        <v>0</v>
      </c>
      <c r="GJ24" s="1">
        <f>IF($D24="DN Spring Wheat after Spring Legume",$H24*DNSpringWinterAfterSpringLegume!$M$118,0)</f>
        <v>0</v>
      </c>
      <c r="GK24" s="1">
        <f>IF($D24="DN Spring Wheat after Forage Crop",$H24*DNSpringWheatAfterForageCrop!$M$118,0)</f>
        <v>0</v>
      </c>
      <c r="GL24" s="1">
        <f>IF($D24="DN Spring Wheat after Winter Crop",$H24*DNSpringWheatAfterWinterCrop!$M$118,0)</f>
        <v>0</v>
      </c>
      <c r="GM24" s="1">
        <f>IF($D24="Chickpea after Forage Crop",$H24*ChickpeaAfterForageCrop!$M$118,0)</f>
        <v>0</v>
      </c>
      <c r="GN24" s="1">
        <f>IF($D24="Chickpea after Cereal",$H24*ChickpeaAfterCereal!$M$118,0)</f>
        <v>0</v>
      </c>
      <c r="GO24" s="1">
        <f>IF($D24="Spring Pea after Cereal",$H24*SpringPeaAfterCereal!$M$118,0)</f>
        <v>0</v>
      </c>
      <c r="GP24" s="1">
        <f>IF($D24="Forage Crop-St. John Area",$H24*'ForageCrop-StJohn'!$M$118,0)</f>
        <v>0</v>
      </c>
      <c r="GQ24" s="1">
        <f>IF($D24="Forage Crop-Genesee Area",$H24*'ForageCrop-Genesee'!$M$118,0)</f>
        <v>4643.6193637081569</v>
      </c>
      <c r="GR24" s="1">
        <f>IF($D24="Livestock Grazing",$H24*LivestockGrazing!$M$118,0)</f>
        <v>0</v>
      </c>
      <c r="GS24" s="1">
        <f>IF($D24="SW Winter Wheat after Cereal",$H24*SWWinterWheatafterCereal!$M$118,0)</f>
        <v>0</v>
      </c>
      <c r="GT24" s="1">
        <f>IF($D24="SW Winter Wheat after Fallow",$H24*SWWinterWheatAfterFallow!$M$118,0)</f>
        <v>0</v>
      </c>
      <c r="GU24" s="1">
        <f>IF($D24="Chem-Fallow",$H24*'Chem-Fallow'!$M$118,0)</f>
        <v>0</v>
      </c>
      <c r="GV24" s="1">
        <f>IF($D24="Flex-Fallow",$H24*'Flex-Fallow'!$M$118,0)</f>
        <v>0</v>
      </c>
      <c r="GW24" s="1">
        <f>IF($D24="Spring Barley",$H24*SpringBarley!$M$118,0)</f>
        <v>0</v>
      </c>
      <c r="GX24" s="1">
        <f>IF($D24="Roundup Ready Spring Canola",$H24*'SpringCanola_R-Ready'!$M$118,0)</f>
        <v>0</v>
      </c>
      <c r="GY24" s="1">
        <f>IF($D24="Spring Canola",$H24*SpringCanola!$M$118,0)</f>
        <v>0</v>
      </c>
      <c r="GZ24" s="1">
        <f>IF($D24="Spring Lentils",$H24*SpringLentils!$M$118,0)</f>
        <v>0</v>
      </c>
      <c r="HA24" s="1">
        <f>IF($D24="SW Spring Wheat",$H24*SWSpringWheat!$M$118,0)</f>
        <v>0</v>
      </c>
      <c r="HB24" s="1">
        <f>IF($D24="HR Winter Wheat",$H24*HRWinterWheat!$M$118,0)</f>
        <v>0</v>
      </c>
      <c r="HC24" s="1">
        <f>IF($D24="Winter Pea",$H24*WinterPea!$M$118,0)</f>
        <v>0</v>
      </c>
      <c r="HD24" s="1">
        <f>IF($D24="Winter Canola",$H24*WinterCanola!$M$118,0)</f>
        <v>0</v>
      </c>
      <c r="HE24" s="322">
        <f>IF($D24="Forage Crop-Soil Builder Blend",$H24*ForageCrop!$M$118,0)</f>
        <v>0</v>
      </c>
      <c r="HF24" s="1">
        <f>IF($D24="SW Winter Wheat after Spring Legume",($H24*(SUM(SWWinterWheatAfterSpringLegume!$E$9:$E$16)+SWWinterWheatAfterSpringLegume!$G$16))/2000,0)</f>
        <v>0</v>
      </c>
      <c r="HG24" s="1">
        <f>IF($D24="SW Winter Wheat after Forage Crop",($H24*(SUM(SWWinterWheatAfterForageCrop!$E$9:$E$16)+SWWinterWheatAfterForageCrop!$G$17))/2000,0)</f>
        <v>0</v>
      </c>
      <c r="HH24" s="1">
        <f>IF($D24="DN Spring Wheat after Spring Legume",($H24*(SUM(DNSpringWinterAfterSpringLegume!$E$9:$E$16)+DNSpringWinterAfterSpringLegume!$G$16))/2000,0)</f>
        <v>0</v>
      </c>
      <c r="HI24" s="1">
        <f>IF($D24="DN Spring Wheat after Forage Crop",($H24*(SUM(DNSpringWheatAfterForageCrop!$E$9:$E$16)+DNSpringWheatAfterForageCrop!$G$14))/2000,0)</f>
        <v>0</v>
      </c>
      <c r="HJ24" s="1">
        <f>IF($D24="DN Spring Wheat after Winter Crop",($H24*(SUM(DNSpringWheatAfterWinterCrop!$E$9:$E$16)+DNSpringWheatAfterWinterCrop!$G$16))/2000,0)</f>
        <v>0</v>
      </c>
      <c r="HK24" s="1">
        <f>IF($D24="Chickpea after Forage Crop",($H24*(SUM(ChickpeaAfterForageCrop!$E$9:$E$16)+ChickpeaAfterForageCrop!$G$14))/2000,0)</f>
        <v>0</v>
      </c>
      <c r="HL24" s="1">
        <f>IF($D24="Chickpea after Cereal",($H24*(SUM(ChickpeaAfterCereal!$E$9:$E$16)+ChickpeaAfterCereal!$G$14))/2000,0)</f>
        <v>0</v>
      </c>
      <c r="HM24" s="1">
        <f>IF($D24="Spring Pea after Cereal",($H24*(SUM(SpringPeaAfterCereal!$E$9:$E$16)+SpringPeaAfterCereal!$G$14))/2000,0)</f>
        <v>0</v>
      </c>
      <c r="HN24" s="1">
        <f>IF($D24="Forage Crop-St. John Area",($H24*(SUM('ForageCrop-StJohn'!$E$9:$E$16)+'ForageCrop-StJohn'!$G$14))/2000,0)</f>
        <v>0</v>
      </c>
      <c r="HO24" s="1">
        <f>IF($D24="Forage Crop-Genesee Area",($H24*(SUM('ForageCrop-Genesee'!$E$9:$E$16)+'ForageCrop-Genesee'!$G$14))/2000,0)</f>
        <v>0</v>
      </c>
      <c r="HP24" s="1">
        <f>IF($D24="Livestock Grazing",($H24*(SUM(LivestockGrazing!$E$9:$E$16)+LivestockGrazing!$G$14))/2000,0)</f>
        <v>0</v>
      </c>
      <c r="HQ24" s="1">
        <f>IF($D24="SW Winter Wheat after Cereal",($H24*(SUM(SWWinterWheatafterCereal!$E$9:$E$16)+SWWinterWheatafterCereal!$G$16))/2000,0)</f>
        <v>0</v>
      </c>
      <c r="HR24" s="1">
        <f>IF($D24="SW Winter Wheat after Fallow",($H24*(SUM(SWWinterWheatAfterFallow!$E$9:$E$16)+SWWinterWheatAfterFallow!$G$14))/2000,0)</f>
        <v>0</v>
      </c>
      <c r="HS24" s="1">
        <f>IF($D24="Chem-Fallow",($H24*(SUM('Chem-Fallow'!$E$9:$E$16)+'Chem-Fallow'!$G$16))/2000,0)</f>
        <v>0</v>
      </c>
      <c r="HT24" s="1">
        <f>IF($D24="Flex-Fallow",($H24*(SUM('Flex-Fallow'!$E$9:$E$16)+'Flex-Fallow'!$G$16))/2000,0)</f>
        <v>0</v>
      </c>
      <c r="HU24" s="1">
        <f>IF($D24="Spring Barley",($H24*(SUM(SpringBarley!$E$9:$E$16)+SpringBarley!$G$16))/2000,0)</f>
        <v>0</v>
      </c>
      <c r="HV24" s="1">
        <f>IF($D24="Roundup Ready Spring Canola",($H24*(SUM('SpringCanola_R-Ready'!$E$9:$E$16)+'SpringCanola_R-Ready'!$G$14))/2000,0)</f>
        <v>0</v>
      </c>
      <c r="HW24" s="1">
        <f>IF($D24="Spring Canola",($H24*(SUM(SpringCanola!$E$9:$E$16)+SpringCanola!$G$14))/2000,0)</f>
        <v>0</v>
      </c>
      <c r="HX24" s="1">
        <f>IF($D24="Spriing Lentils",($H24*(SUM(SpringLentils!$E$9:$E$16)+SpringLentils!$G$14))/2000,0)</f>
        <v>0</v>
      </c>
      <c r="HY24" s="1">
        <f>IF($D24="SW Spring Wheat",($H24*(SUM(SWSpringWheat!$E$9:$E$16)+SWSpringWheat!$G$18))/2000,0)</f>
        <v>0</v>
      </c>
      <c r="HZ24" s="1">
        <f>IF($D24="HR Winter Wheat",($H24*(SUM(HRWinterWheat!$E$9:$E$16)+HRWinterWheat!$G$16))/2000,0)</f>
        <v>0</v>
      </c>
      <c r="IA24" s="1">
        <f>IF($D24="Winter Pea",($H24*(SUM(WinterPea!$E$9:$E$16)+WinterPea!$G$14))/2000,0)</f>
        <v>0</v>
      </c>
      <c r="IB24" s="1">
        <f>IF($D24="Winter Canola",($H24*(SUM(WinterCanola!$E$9:$E$16)+WinterCanola!$G$14))/2000,0)</f>
        <v>0</v>
      </c>
      <c r="IC24" s="322">
        <f>IF($D24="Forage Crop-Soil Builder Blend",($H24*(SUM(ForageCrop!$E$9:$E$16)+ForageCrop!$G$14))/2000,0)</f>
        <v>0</v>
      </c>
      <c r="ID24" s="1">
        <f>IF($D24="SW Winter Wheat after Spring Legume",$H24*SWWinterWheatAfterSpringLegume!$G$62,0)</f>
        <v>0</v>
      </c>
      <c r="IE24" s="1">
        <f>IF($D24="SW Winter Wheat after Forage Crop",$H24*SWWinterWheatAfterForageCrop!$G$62,0)</f>
        <v>0</v>
      </c>
      <c r="IF24" s="1">
        <f>IF($D24="DN Spring Wheat after Spring Legume",$H24*DNSpringWinterAfterSpringLegume!$G$62,0)</f>
        <v>0</v>
      </c>
      <c r="IG24" s="1">
        <f>IF($D24="DN Spring Wheat after Forage Crop",$H24*DNSpringWheatAfterForageCrop!$G$62,0)</f>
        <v>0</v>
      </c>
      <c r="IH24" s="1">
        <f>IF($D24="DN Spring Wheat after Winter Crop",$H24*DNSpringWheatAfterWinterCrop!$G$62,0)</f>
        <v>0</v>
      </c>
      <c r="II24" s="1">
        <f>IF($D24="Chickpea after Forage Crop",$H24*ChickpeaAfterForageCrop!$G$62,0)</f>
        <v>0</v>
      </c>
      <c r="IJ24" s="1">
        <f>IF($D24="Chickpea after Cereal",$H24*ChickpeaAfterCereal!$G$62,0)</f>
        <v>0</v>
      </c>
      <c r="IK24" s="1">
        <f>IF($D24="Spring Pea after Cereal",$H24*SpringPeaAfterCereal!$G$62,0)</f>
        <v>0</v>
      </c>
      <c r="IL24" s="1">
        <f>IF($D24="Forage Crop-St. John Area",$H24*'ForageCrop-StJohn'!$G$62,0)</f>
        <v>0</v>
      </c>
      <c r="IM24" s="1">
        <f>IF($D24="Forage Crop-Genesee Area",$H24*'ForageCrop-Genesee'!$G$62,0)</f>
        <v>304.6875</v>
      </c>
      <c r="IN24" s="1">
        <f>IF($D24="Livestock Grazing",$H24*LivestockGrazing!$G$62,0)</f>
        <v>0</v>
      </c>
      <c r="IO24" s="1">
        <f>IF($D24="SW Winter Wheat after Cereal",$H24*SWWinterWheatafterCereal!$G$62,0)</f>
        <v>0</v>
      </c>
      <c r="IP24" s="1">
        <f>IF($D24="SW Winter Wheat after Fallow",$H24*SWWinterWheatAfterFallow!$G$62,0)</f>
        <v>0</v>
      </c>
      <c r="IQ24" s="1">
        <f>IF($D24="Chem-Fallow",$H24*'Chem-Fallow'!$G$62,0)</f>
        <v>0</v>
      </c>
      <c r="IR24" s="1">
        <f>IF($D24="Flex-Fallow",$H24*'Flex-Fallow'!$G$62,0)</f>
        <v>0</v>
      </c>
      <c r="IS24" s="1">
        <f>IF($D24="Spring Barley",$H24*SpringBarley!$G$62,0)</f>
        <v>0</v>
      </c>
      <c r="IT24" s="1">
        <f>IF($D24="Roundup Ready Spring Canola",$H24*'SpringCanola_R-Ready'!$G$62,0)</f>
        <v>0</v>
      </c>
      <c r="IU24" s="1">
        <f>IF($D24="Spring Canola",$H24*SpringCanola!$G$62,0)</f>
        <v>0</v>
      </c>
      <c r="IV24" s="1">
        <f>IF($D24="Spriing Lentils",$H24*SpringLentils!$G$62,0)</f>
        <v>0</v>
      </c>
      <c r="IW24" s="1">
        <f>IF($D24="SW Spring Wheat",$H24*SWSpringWheat!$G$62,0)</f>
        <v>0</v>
      </c>
      <c r="IX24" s="1">
        <f>IF($D24="HR Winter Wheat",$H24*HRWinterWheat!$G$62,0)</f>
        <v>0</v>
      </c>
      <c r="IY24" s="1">
        <f>IF($D24="Winter Pea",$H24*WinterPea!$G$62,0)</f>
        <v>0</v>
      </c>
      <c r="IZ24" s="1">
        <f>IF($D24="Winter Canola",$H24*+WinterCanola!$G$62,0)</f>
        <v>0</v>
      </c>
      <c r="JA24" s="1">
        <f>IF($D24="Forage Crop-Soil Builder Blend",$H24*ForageCrop!$G$62,0)</f>
        <v>0</v>
      </c>
      <c r="JB24" s="1">
        <f>IF($D24="SW Winter Wheat after Spring Legume",$H24*'Prices_Yields&amp;SeedInputs'!G5,0)</f>
        <v>0</v>
      </c>
      <c r="JC24" s="1">
        <f>IF($D24="SW Winter Wheat after Forage Crop",$H24*'Prices_Yields&amp;SeedInputs'!G6,0)</f>
        <v>0</v>
      </c>
      <c r="JD24" s="1">
        <f>IF($D24="DN Spring Wheat after Spring Legume",$H24*'Prices_Yields&amp;SeedInputs'!$G$7,0)</f>
        <v>0</v>
      </c>
      <c r="JE24" s="1">
        <f>IF($D24="DN Spring Wheat after Forage Crop",$H24*'Prices_Yields&amp;SeedInputs'!$G$8,0)</f>
        <v>0</v>
      </c>
      <c r="JF24" s="1">
        <f>IF($D24="DN Spring Wheat after Winter Crop",$H24*'Prices_Yields&amp;SeedInputs'!$G$9,0)</f>
        <v>0</v>
      </c>
      <c r="JG24" s="1">
        <f>IF($D24="Chickpea after Forage Crop",$H24*'Prices_Yields&amp;SeedInputs'!$G$10,0)</f>
        <v>0</v>
      </c>
      <c r="JH24" s="1">
        <f>IF($D24="Chickpea after Cereal",$H24*'Prices_Yields&amp;SeedInputs'!$G$11,0)</f>
        <v>0</v>
      </c>
      <c r="JI24" s="1">
        <f>IF($D24="Spring Pea after Cereal",$H24*'Prices_Yields&amp;SeedInputs'!$G$12,0)</f>
        <v>0</v>
      </c>
      <c r="JJ24" s="1">
        <f>IF($D24="Forage Crop-St. John Area",$H24*'Prices_Yields&amp;SeedInputs'!$G$13,0)</f>
        <v>0</v>
      </c>
      <c r="JK24" s="1">
        <f>IF($D24="Forage Crop-Genesee Area",$H24*'Prices_Yields&amp;SeedInputs'!$G$14,0)</f>
        <v>0</v>
      </c>
      <c r="JL24" s="1">
        <f>IF($D24="Livestock Grazing",$H24*'Prices_Yields&amp;SeedInputs'!$G$15,0)</f>
        <v>0</v>
      </c>
      <c r="JM24" s="1">
        <f>IF($D24="SW Winter Wheat after Cereal",$H24*'Prices_Yields&amp;SeedInputs'!$G$16,0)</f>
        <v>0</v>
      </c>
      <c r="JN24" s="1">
        <f>IF($D24="SW Winter Wheat after Fallow",$H24*'Prices_Yields&amp;SeedInputs'!$G$17,0)</f>
        <v>0</v>
      </c>
      <c r="JO24" s="1">
        <f>IF($D24="Chem-Fallow",$H24*'Prices_Yields&amp;SeedInputs'!$G$18,0)</f>
        <v>0</v>
      </c>
      <c r="JP24" s="1">
        <f>IF($D24="Flex-Fallow",$H24*'Prices_Yields&amp;SeedInputs'!$G$19,0)</f>
        <v>0</v>
      </c>
      <c r="JQ24" s="1">
        <f>IF($D24="Spring Barley",$H24*'Prices_Yields&amp;SeedInputs'!$G$20,0)</f>
        <v>0</v>
      </c>
      <c r="JR24" s="1">
        <f>IF($D24="Roundup Ready Spring Canola",$H24*'Prices_Yields&amp;SeedInputs'!$G$21,0)</f>
        <v>0</v>
      </c>
      <c r="JS24" s="1">
        <f>IF($D24="Spring Canola",$H24*'Prices_Yields&amp;SeedInputs'!$G$22,0)</f>
        <v>0</v>
      </c>
      <c r="JT24" s="1">
        <f>IF($D24="Spriing Lentils",$H24*'Prices_Yields&amp;SeedInputs'!$G$23,0)</f>
        <v>0</v>
      </c>
      <c r="JU24" s="1">
        <f>IF($D24="SW Spring Wheat",$H24*'Prices_Yields&amp;SeedInputs'!$G$24,0)</f>
        <v>0</v>
      </c>
      <c r="JV24" s="1">
        <f>IF($D24="HR Winter Wheat",$H24*'Prices_Yields&amp;SeedInputs'!$G$25,0)</f>
        <v>0</v>
      </c>
      <c r="JW24" s="1">
        <f>IF($D24="Winter Pea",$H24*'Prices_Yields&amp;SeedInputs'!$G$26,0)</f>
        <v>0</v>
      </c>
      <c r="JX24" s="1">
        <f>IF($D24="Winter Canola",$H24*'Prices_Yields&amp;SeedInputs'!$G$27,0)</f>
        <v>0</v>
      </c>
      <c r="JY24" s="1">
        <f>IF($D24="Forage Crop-Soil Builder Blend",$H24*'Prices_Yields&amp;SeedInputs'!$G$28,0)</f>
        <v>0</v>
      </c>
    </row>
    <row r="25" spans="1:285" ht="20" customHeight="1">
      <c r="A25" s="3"/>
      <c r="B25" s="607"/>
      <c r="C25" s="564">
        <v>3</v>
      </c>
      <c r="D25" s="565" t="s">
        <v>383</v>
      </c>
      <c r="E25" s="559">
        <v>0.3</v>
      </c>
      <c r="F25" s="560">
        <f>IF(D25="Livestock Grazing",0,E25)</f>
        <v>0</v>
      </c>
      <c r="G25" s="561">
        <f>IF(D25="Livestock Grazing",0,$I$2*E25)</f>
        <v>0</v>
      </c>
      <c r="H25" s="562">
        <f>$I$2*E25</f>
        <v>750</v>
      </c>
      <c r="I25" s="563">
        <f>SUM(AT25:BQ25)</f>
        <v>87.539474599038471</v>
      </c>
      <c r="J25" s="140"/>
      <c r="K25" s="140"/>
      <c r="L25" s="140"/>
      <c r="M25" s="140"/>
      <c r="N25" s="5"/>
      <c r="O25" s="201"/>
      <c r="P25" s="196"/>
      <c r="Q25" s="197"/>
      <c r="R25" s="140"/>
      <c r="S25" s="140"/>
      <c r="T25" s="140"/>
      <c r="V25" s="1">
        <f>IF($D25="SW Winter Wheat after Spring Legume",$H25,0)</f>
        <v>0</v>
      </c>
      <c r="W25" s="1">
        <f>IF($D25="SW Winter Wheat after Forage Crop",$H25,0)</f>
        <v>0</v>
      </c>
      <c r="X25" s="1">
        <f>IF($D25="DN Spring Wheat after Spring Legume",$H25,0)</f>
        <v>0</v>
      </c>
      <c r="Y25" s="1">
        <f>IF($D25="DN Spring Wheat after Forage Crop",$H25,0)</f>
        <v>0</v>
      </c>
      <c r="Z25" s="1">
        <f>IF($D25="DN Spring Wheat after Winter Crop",$H25,0)</f>
        <v>0</v>
      </c>
      <c r="AA25" s="1">
        <f>IF($D25="Chickpea after Forage Crop",$H25,0)</f>
        <v>0</v>
      </c>
      <c r="AB25" s="1">
        <f>IF($D25="Chickpea after Cereal",$H25,0)</f>
        <v>0</v>
      </c>
      <c r="AC25" s="1">
        <f>IF($D25="Spring Pea after Cereal",$H25,0)</f>
        <v>0</v>
      </c>
      <c r="AD25" s="1">
        <f>IF($D25="Forage Crop-St. John Area",$H25,0)</f>
        <v>0</v>
      </c>
      <c r="AE25" s="1">
        <f>IF($D25="Forage Crop-Genesee Area",$H25,0)</f>
        <v>0</v>
      </c>
      <c r="AF25" s="1">
        <f>IF($D25="Livestock Grazing",$H25,0)</f>
        <v>750</v>
      </c>
      <c r="AG25" s="1">
        <f>IF($D25="SW Winter Wheat after Cereal",$H25,0)</f>
        <v>0</v>
      </c>
      <c r="AH25" s="1">
        <f>IF($D25="SW Winter Wheat after Fallow",$H25,0)</f>
        <v>0</v>
      </c>
      <c r="AI25" s="1">
        <f>IF($D25="Chem-Fallow",$H25,0)</f>
        <v>0</v>
      </c>
      <c r="AJ25" s="1">
        <f>IF($D25="Flex-Fallow",$H25,0)</f>
        <v>0</v>
      </c>
      <c r="AK25" s="1">
        <f>IF($D25="Spring Barley",$H25,0)</f>
        <v>0</v>
      </c>
      <c r="AL25" s="1">
        <f>IF($D25="Roundup Ready Spring Canola",$H25,0)</f>
        <v>0</v>
      </c>
      <c r="AM25" s="1">
        <f>IF($D25="Spring Canola",$H25,0)</f>
        <v>0</v>
      </c>
      <c r="AN25" s="1">
        <f>IF($D25="Spring Lentils",$H25,0)</f>
        <v>0</v>
      </c>
      <c r="AO25" s="1">
        <f>IF($D25="SW Spring Wheat",$H25,0)</f>
        <v>0</v>
      </c>
      <c r="AP25" s="1">
        <f>IF($D25="HR Winter Wheat",$H25,0)</f>
        <v>0</v>
      </c>
      <c r="AQ25" s="1">
        <f>IF($D25="Winter Pea",$H25,0)</f>
        <v>0</v>
      </c>
      <c r="AR25" s="1">
        <f>IF($D25="Winter Canola",$H25,0)</f>
        <v>0</v>
      </c>
      <c r="AS25" s="322">
        <f>IF($D25="Forage Crop-Soil Builder Blend",$H25,0)</f>
        <v>0</v>
      </c>
      <c r="AT25" s="1">
        <f>IF($D25="SW Winter Wheat after Spring Legume",SWWinterWheatAfterSpringLegume!$I$138,0)</f>
        <v>0</v>
      </c>
      <c r="AU25" s="1">
        <f>IF($D25="SW Winter Wheat after Forage Crop",SWWinterWheatAfterForageCrop!$I$138,0)</f>
        <v>0</v>
      </c>
      <c r="AV25" s="1">
        <f>IF($D25="DN Spring Wheat after Spring Legume",DNSpringWinterAfterSpringLegume!$I$138,0)</f>
        <v>0</v>
      </c>
      <c r="AW25" s="1">
        <f>IF($D25="DN Spring Wheat after Forage Crop",DNSpringWheatAfterForageCrop!$I$138,0)</f>
        <v>0</v>
      </c>
      <c r="AX25" s="1">
        <f>IF($D25="DN Spring Wheat after Winter Crop",DNSpringWheatAfterWinterCrop!$I$138,0)</f>
        <v>0</v>
      </c>
      <c r="AY25" s="1">
        <f>IF($D25="Chickpea after Forage Crop",ChickpeaAfterForageCrop!$I$138,0)</f>
        <v>0</v>
      </c>
      <c r="AZ25" s="1">
        <f>IF($D25="Chickpea after Cereal",ChickpeaAfterCereal!$I$138,0)</f>
        <v>0</v>
      </c>
      <c r="BA25" s="1">
        <f>IF($D25="Spring Pea after Cereal",SpringPeaAfterCereal!$I$138,0)</f>
        <v>0</v>
      </c>
      <c r="BB25" s="1">
        <f>IF($D25="Forage Crop-St. John Area",'ForageCrop-StJohn'!$I$138,0)</f>
        <v>0</v>
      </c>
      <c r="BC25" s="1">
        <f>IF($D25="Forage Crop-Genesee Area",'ForageCrop-Genesee'!$I$138,0)</f>
        <v>0</v>
      </c>
      <c r="BD25" s="1">
        <f>IF($D25="Livestock Grazing",LivestockGrazing!$I$138,0)</f>
        <v>87.539474599038471</v>
      </c>
      <c r="BE25" s="1">
        <f>IF($D25="SW Winter Wheat after Cereal",SWWinterWheatafterCereal!$I$138,0)</f>
        <v>0</v>
      </c>
      <c r="BF25" s="1">
        <f>IF($D25="SW Winter Wheat after Fallow",SWWinterWheatAfterFallow!$I$138,0)</f>
        <v>0</v>
      </c>
      <c r="BG25" s="1">
        <f>IF($D25="Chem-Fallow",'Chem-Fallow'!$I$138,0)</f>
        <v>0</v>
      </c>
      <c r="BH25" s="1">
        <f>IF($D25="Flex-Fallow",'Flex-Fallow'!$I$138,0)</f>
        <v>0</v>
      </c>
      <c r="BI25" s="1">
        <f>IF($D25="Spring Barley",SpringBarley!$I$138,0)</f>
        <v>0</v>
      </c>
      <c r="BJ25" s="1">
        <f>IF($D25="Roundup Ready Spring Canola",'SpringCanola_R-Ready'!$I$138,0)</f>
        <v>0</v>
      </c>
      <c r="BK25" s="1">
        <f>IF($D25="Spring Canola",SpringCanola!$I$138,0)</f>
        <v>0</v>
      </c>
      <c r="BL25" s="1">
        <f>IF($D25="Spring Lentils",SpringLentils!$I$138,0)</f>
        <v>0</v>
      </c>
      <c r="BM25" s="1">
        <f>IF($D25="SW Spring Wheat",SWSpringWheat!$I$138,0)</f>
        <v>0</v>
      </c>
      <c r="BN25" s="1">
        <f>IF($D25="HR Winter Wheat",HRWinterWheat!$I$138,0)</f>
        <v>0</v>
      </c>
      <c r="BO25" s="1">
        <f>IF($D25="Winter Pea",WinterPea!$I$138,0)</f>
        <v>0</v>
      </c>
      <c r="BP25" s="1">
        <f>IF($D25="Winter Canola",WinterCanola!$I$138,0)</f>
        <v>0</v>
      </c>
      <c r="BQ25" s="322">
        <f>IF($D25="Forage Crop-Soil Builder Blend",ForageCrop!$I$138,0)</f>
        <v>0</v>
      </c>
      <c r="BR25" s="1">
        <f>IF($D25="SW Winter Wheat after Spring Legume",H25*SWWinterWheatAfterSpringLegume!$I$138,0)</f>
        <v>0</v>
      </c>
      <c r="BS25" s="1">
        <f>IF($D25="SW Winter Wheat after Forage Crop",H25*SWWinterWheatAfterForageCrop!$I$138,0)</f>
        <v>0</v>
      </c>
      <c r="BT25" s="1">
        <f>IF($D25="DN Spring Wheat after Spring Legume",H25*DNSpringWinterAfterSpringLegume!$I$138,0)</f>
        <v>0</v>
      </c>
      <c r="BU25" s="1">
        <f>IF($D25="DN Spring Wheat after Forage Crop",H25*DNSpringWheatAfterForageCrop!$I$138,0)</f>
        <v>0</v>
      </c>
      <c r="BV25" s="1">
        <f>IF($D25="DN Spring Wheat after Winter Crop",H25*DNSpringWheatAfterWinterCrop!$I$138,0)</f>
        <v>0</v>
      </c>
      <c r="BW25" s="1">
        <f>IF($D25="Chickpea after Forage Crop",H25*ChickpeaAfterForageCrop!$I$138,0)</f>
        <v>0</v>
      </c>
      <c r="BX25" s="1">
        <f>IF($D25="Chickpea after Cereal",H25*ChickpeaAfterCereal!$I$138,0)</f>
        <v>0</v>
      </c>
      <c r="BY25" s="1">
        <f>IF($D25="Spring Pea after Cereal",H25*SpringPeaAfterCereal!$I$138,0)</f>
        <v>0</v>
      </c>
      <c r="BZ25" s="1">
        <f>IF($D25="Forage Crop-St. John Area",H25*'ForageCrop-StJohn'!$I$138,0)</f>
        <v>0</v>
      </c>
      <c r="CA25" s="1">
        <f>IF($D25="Forage Crop-Genesee Area",H25*'ForageCrop-Genesee'!$I$138,0)</f>
        <v>0</v>
      </c>
      <c r="CB25" s="1">
        <f>IF($D25="Livestock Grazing",H25*LivestockGrazing!$I$138,0)</f>
        <v>65654.605949278848</v>
      </c>
      <c r="CC25" s="1">
        <f>IF($D25="SW Winter Wheat after Cereal",H25*SWWinterWheatafterCereal!$I$138,0)</f>
        <v>0</v>
      </c>
      <c r="CD25" s="1">
        <f>IF($D25="SW Winter Wheat after Fallow",H25*SWWinterWheatAfterFallow!$I$138,0)</f>
        <v>0</v>
      </c>
      <c r="CE25" s="1">
        <f>IF($D25="Chem-Fallow",H25*'Chem-Fallow'!$I$138,0)</f>
        <v>0</v>
      </c>
      <c r="CF25" s="1">
        <f>IF($D25="Flex-Fallow",H25*'Flex-Fallow'!$I$138,0)</f>
        <v>0</v>
      </c>
      <c r="CG25" s="1">
        <f>IF($D25="Spring Barley",H25*SpringBarley!$I$138,0)</f>
        <v>0</v>
      </c>
      <c r="CH25" s="1">
        <f>IF($D25="Roundup Ready Spring Canola",H25*'SpringCanola_R-Ready'!$I$138,0)</f>
        <v>0</v>
      </c>
      <c r="CI25" s="1">
        <f>IF($D25="Spring Canola",H25*SpringCanola!$I$138,0)</f>
        <v>0</v>
      </c>
      <c r="CJ25" s="1">
        <f>IF($D25="Spring Lentils",H25*SpringLentils!$I$138,0)</f>
        <v>0</v>
      </c>
      <c r="CK25" s="1">
        <f>IF($D25="SW Spring Wheat",H25*SWSpringWheat!$I$138,0)</f>
        <v>0</v>
      </c>
      <c r="CL25" s="1">
        <f>IF($D25="HR Winter Wheat",H25*HRWinterWheat!$I$138,0)</f>
        <v>0</v>
      </c>
      <c r="CM25" s="1">
        <f>IF($D25="Winter Pea",H25*WinterPea!$I$138,0)</f>
        <v>0</v>
      </c>
      <c r="CN25" s="1">
        <f>IF($D25="Winter Canola",H25*WinterCanola!$I$138,0)</f>
        <v>0</v>
      </c>
      <c r="CO25" s="322">
        <f>IF($D25="Forage Crop-Soil Builder Blend",H25*ForageCrop!$I$138,0)</f>
        <v>0</v>
      </c>
      <c r="CP25" s="1">
        <f>IF($D25="SW Winter Wheat after Spring Legume",H25*'Prices_Yields&amp;SeedInputs'!J$5,0)</f>
        <v>0</v>
      </c>
      <c r="CQ25" s="1">
        <f>IF($D25="SW Winter Wheat after Forage Crop",H25*'Prices_Yields&amp;SeedInputs'!J$6,0)</f>
        <v>0</v>
      </c>
      <c r="CR25" s="1">
        <f>IF($D25="DN Spring Wheat after Spring Legume",H25*'Prices_Yields&amp;SeedInputs'!J$7,0)</f>
        <v>0</v>
      </c>
      <c r="CS25" s="1">
        <f>IF($D25="DN Spring Wheat after Forage Crop",H25*'Prices_Yields&amp;SeedInputs'!J$8,0)</f>
        <v>0</v>
      </c>
      <c r="CT25" s="1">
        <f>IF($D25="DN Spring Wheat after Winter Crop",H25*'Prices_Yields&amp;SeedInputs'!J$9,0)</f>
        <v>0</v>
      </c>
      <c r="CU25" s="1">
        <f>IF($D25="Chickpea after Forage Crop",H25*'Prices_Yields&amp;SeedInputs'!J$10,0)</f>
        <v>0</v>
      </c>
      <c r="CV25" s="1">
        <f>IF($D25="Chickpea after Cereal",H25*'Prices_Yields&amp;SeedInputs'!J$11,0)</f>
        <v>0</v>
      </c>
      <c r="CW25" s="1">
        <f>IF($D25="Spring Pea after Cereal",H25*'Prices_Yields&amp;SeedInputs'!J$12,0)</f>
        <v>0</v>
      </c>
      <c r="CX25" s="1">
        <f>IF($D25="Forage Crop-St. John Area",H25*'Prices_Yields&amp;SeedInputs'!J$13,0)</f>
        <v>0</v>
      </c>
      <c r="CY25" s="1">
        <f>IF($D25="Forage Crop-Genesee Area",H25*'Prices_Yields&amp;SeedInputs'!J$14,0)</f>
        <v>0</v>
      </c>
      <c r="CZ25" s="1">
        <f>IF($D25="Livestock Grazing",H25*'Prices_Yields&amp;SeedInputs'!J$15,0)</f>
        <v>0</v>
      </c>
      <c r="DA25" s="1">
        <f>IF($D25="SW Winter Wheat after Cereal",H25*'Prices_Yields&amp;SeedInputs'!J$16,0)</f>
        <v>0</v>
      </c>
      <c r="DB25" s="1">
        <f>IF($D25="SW Winter Wheat after Fallow",H25*'Prices_Yields&amp;SeedInputs'!J$17,0)</f>
        <v>0</v>
      </c>
      <c r="DC25" s="1">
        <f>IF($D25="Chem-Fallow",H25*'Prices_Yields&amp;SeedInputs'!J$18,0)</f>
        <v>0</v>
      </c>
      <c r="DD25" s="1">
        <f>IF($D25="Flex-Fallow",H25*'Prices_Yields&amp;SeedInputs'!J$19,0)</f>
        <v>0</v>
      </c>
      <c r="DE25" s="1">
        <f>IF($D25="Spring Barley",H25*'Prices_Yields&amp;SeedInputs'!J$20,0)</f>
        <v>0</v>
      </c>
      <c r="DF25" s="1">
        <f>IF($D25="Roundup Ready Spring Canola",H25*'Prices_Yields&amp;SeedInputs'!J$21,0)</f>
        <v>0</v>
      </c>
      <c r="DG25" s="1">
        <f>IF($D25="Spring Canola",H25*'Prices_Yields&amp;SeedInputs'!J$22,0)</f>
        <v>0</v>
      </c>
      <c r="DH25" s="1">
        <f>IF($D25="Spring Lentils",H25*'Prices_Yields&amp;SeedInputs'!J$23,0)</f>
        <v>0</v>
      </c>
      <c r="DI25" s="1">
        <f>IF($D25="SW Spring Wheat",H25*'Prices_Yields&amp;SeedInputs'!J$24,0)</f>
        <v>0</v>
      </c>
      <c r="DJ25" s="1">
        <f>IF($D25="HR Winter Wheat",H25*'Prices_Yields&amp;SeedInputs'!J$25,0)</f>
        <v>0</v>
      </c>
      <c r="DK25" s="1">
        <f>IF($D25="Winter Pea",H25*'Prices_Yields&amp;SeedInputs'!J$26,0)</f>
        <v>0</v>
      </c>
      <c r="DL25" s="1">
        <f>IF($D25="Winter Canola",H25*'Prices_Yields&amp;SeedInputs'!J$27,0)</f>
        <v>0</v>
      </c>
      <c r="DM25" s="322">
        <f>IF($D25="Forage Crop-Soil Builder Blend",H25*'Prices_Yields&amp;SeedInputs'!J$28,0)</f>
        <v>0</v>
      </c>
      <c r="DN25" s="1">
        <f>IF($D25="SW Winter Wheat after Spring Legume",$H25*SWWinterWheatAfterSpringLegume!$I$135,0)</f>
        <v>0</v>
      </c>
      <c r="DO25" s="1">
        <f>IF($D25="SW Winter Wheat after Forage Crop",$H25*SWWinterWheatAfterForageCrop!$I$135,0)</f>
        <v>0</v>
      </c>
      <c r="DP25" s="1">
        <f>IF($D25="DN Spring Wheat after Spring Legume",$H25*DNSpringWinterAfterSpringLegume!$I$135,0)</f>
        <v>0</v>
      </c>
      <c r="DQ25" s="1">
        <f>IF($D25="DN Spring Wheat after Forage Crop",$H25*DNSpringWheatAfterForageCrop!$I$135,0)</f>
        <v>0</v>
      </c>
      <c r="DR25" s="1">
        <f>IF($D25="DN Spring Wheat after Winter Crop",$H25*DNSpringWheatAfterWinterCrop!$I$135,0)</f>
        <v>0</v>
      </c>
      <c r="DS25" s="1">
        <f>IF($D25="Chickpea after Forage Crop",$H25*ChickpeaAfterForageCrop!$I$135,0)</f>
        <v>0</v>
      </c>
      <c r="DT25" s="1">
        <f>IF($D25="Chickpea after Cereal",$H25*ChickpeaAfterCereal!$I$135,0)</f>
        <v>0</v>
      </c>
      <c r="DU25" s="1">
        <f>IF($D25="Spring Pea after Cereal",$H25*SpringPeaAfterCereal!$I$135,0)</f>
        <v>0</v>
      </c>
      <c r="DV25" s="1">
        <f>IF($D25="Forage Crop-St. John Area",$H25*'ForageCrop-StJohn'!$I$135,0)</f>
        <v>0</v>
      </c>
      <c r="DW25" s="1">
        <f>IF($D25="Forage Crop-Genesee Area",$H25*'ForageCrop-Genesee'!$I$135,0)</f>
        <v>0</v>
      </c>
      <c r="DX25" s="1">
        <f>IF($D25="Livestock Grazing",$H25*LivestockGrazing!$I$135,0)</f>
        <v>0</v>
      </c>
      <c r="DY25" s="1">
        <f>IF($D25="SW Winter Wheat after Cereal",$H25*SWWinterWheatafterCereal!$I$135,0)</f>
        <v>0</v>
      </c>
      <c r="DZ25" s="1">
        <f>IF($D25="SW Winter Wheat after Fallow",$H25*SWWinterWheatAfterFallow!$I$135,0)</f>
        <v>0</v>
      </c>
      <c r="EA25" s="1">
        <f>IF($D25="Chem-Fallow",$H25*'Chem-Fallow'!$I$135,0)</f>
        <v>0</v>
      </c>
      <c r="EB25" s="1">
        <f>IF($D25="Flex-Fallow",$H25*'Flex-Fallow'!$I$135,0)</f>
        <v>0</v>
      </c>
      <c r="EC25" s="1">
        <f>IF($D25="Spring Barley",$H25*SpringBarley!$I$135,0)</f>
        <v>0</v>
      </c>
      <c r="ED25" s="1">
        <f>IF($D25="Roundup Ready Spring Canola",$H25*'SpringCanola_R-Ready'!$I$135,0)</f>
        <v>0</v>
      </c>
      <c r="EE25" s="1">
        <f>IF($D25="Spring Canola",$H25*SpringCanola!$I$135,0)</f>
        <v>0</v>
      </c>
      <c r="EF25" s="1">
        <f>IF($D25="Spring Lentils",$H25*SpringLentils!$I$135,0)</f>
        <v>0</v>
      </c>
      <c r="EG25" s="1">
        <f>IF($D25="SW Spring Wheat",$H25*SWSpringWheat!$I$135,0)</f>
        <v>0</v>
      </c>
      <c r="EH25" s="1">
        <f>IF($D25="HR Winter Wheat",$H25*HRWinterWheat!$I$135,0)</f>
        <v>0</v>
      </c>
      <c r="EI25" s="1">
        <f>IF($D25="Winter Pea",$H25*WinterPea!$I$135,0)</f>
        <v>0</v>
      </c>
      <c r="EJ25" s="1">
        <f>IF($D25="Winter Canola",$H25*WinterCanola!$I$135,0)</f>
        <v>0</v>
      </c>
      <c r="EK25" s="322">
        <f>IF($D25="Forage Crop-Soil Builder Blend",$H25*ForageCrop!$I$135,0)</f>
        <v>0</v>
      </c>
      <c r="EL25" s="1">
        <f>IF($D25="SW Winter Wheat after Spring Legume",$H25*SWWinterWheatAfterSpringLegume!$J$116,0)</f>
        <v>0</v>
      </c>
      <c r="EM25" s="1">
        <f>IF($D25="SW Winter Wheat after Forage Crop",$H25*SWWinterWheatAfterForageCrop!$J$116,0)</f>
        <v>0</v>
      </c>
      <c r="EN25" s="1">
        <f>IF($D25="DN Spring Wheat after Spring Legume",$H25*DNSpringWinterAfterSpringLegume!$J$116,0)</f>
        <v>0</v>
      </c>
      <c r="EO25" s="1">
        <f>IF($D25="DN Spring Wheat after Forage Crop",$H25*DNSpringWheatAfterForageCrop!$J$116,0)</f>
        <v>0</v>
      </c>
      <c r="EP25" s="1">
        <f>IF($D25="DN Spring Wheat after Winter Crop",$H25*DNSpringWheatAfterWinterCrop!$J$116,0)</f>
        <v>0</v>
      </c>
      <c r="EQ25" s="1">
        <f>IF($D25="Chickpea after Forage Crop",$H25*ChickpeaAfterForageCrop!$J$116,0)</f>
        <v>0</v>
      </c>
      <c r="ER25" s="1">
        <f>IF($D25="Chickpea after Cereal",$H25*ChickpeaAfterCereal!$J$116,0)</f>
        <v>0</v>
      </c>
      <c r="ES25" s="1">
        <f>IF($D25="Spring Pea after Cereal",$H25*SpringPeaAfterCereal!$J$116,0)</f>
        <v>0</v>
      </c>
      <c r="ET25" s="1">
        <f>IF($D25="Forage Crop-St. John Area",$H25*'ForageCrop-StJohn'!$J$116,0)</f>
        <v>0</v>
      </c>
      <c r="EU25" s="1">
        <f>IF($D25="Forage Crop-Genesee Area",$H25*'ForageCrop-Genesee'!$J$116,0)</f>
        <v>0</v>
      </c>
      <c r="EV25" s="1">
        <f>IF($D25="Livestock Grazing",$H25*LivestockGrazing!$J$116,0)</f>
        <v>0</v>
      </c>
      <c r="EW25" s="1">
        <f>IF($D25="SW Winter Wheat after Cereal",$H25*SWWinterWheatafterCereal!$J$116,0)</f>
        <v>0</v>
      </c>
      <c r="EX25" s="1">
        <f>IF($D25="SW Winter Wheat after Fallow",$H25*SWWinterWheatAfterFallow!$J$116,0)</f>
        <v>0</v>
      </c>
      <c r="EY25" s="1">
        <f>IF($D25="Chem-Fallow",$H25*'Chem-Fallow'!$J$116,0)</f>
        <v>0</v>
      </c>
      <c r="EZ25" s="1">
        <f>IF($D25="Flex-Fallow",$H25*'Flex-Fallow'!$J$116,0)</f>
        <v>0</v>
      </c>
      <c r="FA25" s="1">
        <f>IF($D25="Spring Barley",$H25*SpringBarley!$J$116,0)</f>
        <v>0</v>
      </c>
      <c r="FB25" s="1">
        <f>IF($D25="Roundup Ready Spring Canola",$H25*'SpringCanola_R-Ready'!$J$116,0)</f>
        <v>0</v>
      </c>
      <c r="FC25" s="1">
        <f>IF($D25="Spring Canola",$H25*SpringCanola!$J$116,0)</f>
        <v>0</v>
      </c>
      <c r="FD25" s="1">
        <f>IF($D25="Spring Lentils",$H25*SpringLentils!$J$116,0)</f>
        <v>0</v>
      </c>
      <c r="FE25" s="1">
        <f>IF($D25="SW Spring Wheat",$H25*SWSpringWheat!$J$116,0)</f>
        <v>0</v>
      </c>
      <c r="FF25" s="1">
        <f>IF($D25="HR Winter Wheat",$H25*HRWinterWheat!$J$116,0)</f>
        <v>0</v>
      </c>
      <c r="FG25" s="1">
        <f>IF($D25="Winter Pea",$H25*WinterPea!$J$116,0)</f>
        <v>0</v>
      </c>
      <c r="FH25" s="1">
        <f>IF($D25="Winter Canola",$H25*WinterCanola!$J$116,0)</f>
        <v>0</v>
      </c>
      <c r="FI25" s="322">
        <f>IF($D25="Forage Crop-Soil Builder Blend",$H25*ForageCrop!$J$116,0)</f>
        <v>0</v>
      </c>
      <c r="FJ25" s="1">
        <f>IF($D25="SW Winter Wheat after Spring Legume",$H25*SWWinterWheatAfterSpringLegume!$J$117,0)</f>
        <v>0</v>
      </c>
      <c r="FK25" s="1">
        <f>IF($D25="SW Winter Wheat after Forage Crop",$H25*SWWinterWheatAfterForageCrop!$J$117,0)</f>
        <v>0</v>
      </c>
      <c r="FL25" s="1">
        <f>IF($D25="DN Spring Wheat after Spring Legume",$H25*DNSpringWinterAfterSpringLegume!$J$117,0)</f>
        <v>0</v>
      </c>
      <c r="FM25" s="1">
        <f>IF($D25="DN Spring Wheat after Forage Crop",$H25*DNSpringWheatAfterForageCrop!$J$117,0)</f>
        <v>0</v>
      </c>
      <c r="FN25" s="1">
        <f>IF($D25="DN Spring Wheat after Winter Crop",$H25*DNSpringWheatAfterWinterCrop!$J$117,0)</f>
        <v>0</v>
      </c>
      <c r="FO25" s="1">
        <f>IF($D25="Chickpea after Forage Crop",$H25*ChickpeaAfterForageCrop!$J$117,0)</f>
        <v>0</v>
      </c>
      <c r="FP25" s="1">
        <f>IF($D25="Chickpea after Cereal",$H25*ChickpeaAfterCereal!$J$117,0)</f>
        <v>0</v>
      </c>
      <c r="FQ25" s="1">
        <f>IF($D25="Spring Pea after Cereal",$H25*SpringPeaAfterCereal!$J$117,0)</f>
        <v>0</v>
      </c>
      <c r="FR25" s="1">
        <f>IF($D25="Forage Crop-St. John Area",$H25*'ForageCrop-StJohn'!$J$117,0)</f>
        <v>0</v>
      </c>
      <c r="FS25" s="1">
        <f>IF($D25="Forage Crop-Genesee Area",$H25*'ForageCrop-Genesee'!$J$117,0)</f>
        <v>0</v>
      </c>
      <c r="FT25" s="1">
        <f>IF($D25="Livestock Grazing",$H25*LivestockGrazing!$J$117,0)</f>
        <v>0</v>
      </c>
      <c r="FU25" s="1">
        <f>IF($D25="SW Winter Wheat after Cereal",$H25*SWWinterWheatafterCereal!$J$117,0)</f>
        <v>0</v>
      </c>
      <c r="FV25" s="1">
        <f>IF($D25="SW Winter Wheat after Fallow",$H25*SWWinterWheatAfterFallow!$J$117,0)</f>
        <v>0</v>
      </c>
      <c r="FW25" s="1">
        <f>IF($D25="Chem-Fallow",$H25*'Chem-Fallow'!$J$117,0)</f>
        <v>0</v>
      </c>
      <c r="FX25" s="1">
        <f>IF($D25="Flex-Fallow",$H25*'Flex-Fallow'!$J$117,0)</f>
        <v>0</v>
      </c>
      <c r="FY25" s="1">
        <f>IF($D25="Spring Barley",$H25*SpringBarley!$J$117,0)</f>
        <v>0</v>
      </c>
      <c r="FZ25" s="1">
        <f>IF($D25="Roundup Ready Spring Canola",$H25*'SpringCanola_R-Ready'!$J$117,0)</f>
        <v>0</v>
      </c>
      <c r="GA25" s="1">
        <f>IF($D25="Spring Canola",$H25*SpringCanola!$J$117,0)</f>
        <v>0</v>
      </c>
      <c r="GB25" s="1">
        <f>IF($D25="Spring Lentils",$H25*SpringLentils!$J$117,0)</f>
        <v>0</v>
      </c>
      <c r="GC25" s="1">
        <f>IF($D25="SW Spring Wheat",$H25*SWSpringWheat!$J$117,0)</f>
        <v>0</v>
      </c>
      <c r="GD25" s="1">
        <f>IF($D25="HR Winter Wheat",$H25*HRWinterWheat!$J$117,0)</f>
        <v>0</v>
      </c>
      <c r="GE25" s="1">
        <f>IF($D25="Winter Pea",$H25*WinterPea!$J$117,0)</f>
        <v>0</v>
      </c>
      <c r="GF25" s="1">
        <f>IF($D25="Winter Canola",$H25*WinterCanola!$J$117,0)</f>
        <v>0</v>
      </c>
      <c r="GG25" s="322">
        <f>IF($D25="Forage Crop-Soil Builder Blend",$H25*ForageCrop!$J$117,0)</f>
        <v>0</v>
      </c>
      <c r="GH25" s="1">
        <f>IF($D25="SW Winter Wheat after Spring Legume",$H25*SWWinterWheatAfterSpringLegume!$M$118,0)</f>
        <v>0</v>
      </c>
      <c r="GI25" s="1">
        <f>IF($D25="SW Winter Wheat after Forage Crop",$H25*SWWinterWheatAfterForageCrop!$M$118,0)</f>
        <v>0</v>
      </c>
      <c r="GJ25" s="1">
        <f>IF($D25="DN Spring Wheat after Spring Legume",$H25*DNSpringWinterAfterSpringLegume!$M$118,0)</f>
        <v>0</v>
      </c>
      <c r="GK25" s="1">
        <f>IF($D25="DN Spring Wheat after Forage Crop",$H25*DNSpringWheatAfterForageCrop!$M$118,0)</f>
        <v>0</v>
      </c>
      <c r="GL25" s="1">
        <f>IF($D25="DN Spring Wheat after Winter Crop",$H25*DNSpringWheatAfterWinterCrop!$M$118,0)</f>
        <v>0</v>
      </c>
      <c r="GM25" s="1">
        <f>IF($D25="Chickpea after Forage Crop",$H25*ChickpeaAfterForageCrop!$M$118,0)</f>
        <v>0</v>
      </c>
      <c r="GN25" s="1">
        <f>IF($D25="Chickpea after Cereal",$H25*ChickpeaAfterCereal!$M$118,0)</f>
        <v>0</v>
      </c>
      <c r="GO25" s="1">
        <f>IF($D25="Spring Pea after Cereal",$H25*SpringPeaAfterCereal!$M$118,0)</f>
        <v>0</v>
      </c>
      <c r="GP25" s="1">
        <f>IF($D25="Forage Crop-St. John Area",$H25*'ForageCrop-StJohn'!$M$118,0)</f>
        <v>0</v>
      </c>
      <c r="GQ25" s="1">
        <f>IF($D25="Forage Crop-Genesee Area",$H25*'ForageCrop-Genesee'!$M$118,0)</f>
        <v>0</v>
      </c>
      <c r="GR25" s="1">
        <f>IF($D25="Livestock Grazing",$H25*LivestockGrazing!$M$118,0)</f>
        <v>0</v>
      </c>
      <c r="GS25" s="1">
        <f>IF($D25="SW Winter Wheat after Cereal",$H25*SWWinterWheatafterCereal!$M$118,0)</f>
        <v>0</v>
      </c>
      <c r="GT25" s="1">
        <f>IF($D25="SW Winter Wheat after Fallow",$H25*SWWinterWheatAfterFallow!$M$118,0)</f>
        <v>0</v>
      </c>
      <c r="GU25" s="1">
        <f>IF($D25="Chem-Fallow",$H25*'Chem-Fallow'!$M$118,0)</f>
        <v>0</v>
      </c>
      <c r="GV25" s="1">
        <f>IF($D25="Flex-Fallow",$H25*'Flex-Fallow'!$M$118,0)</f>
        <v>0</v>
      </c>
      <c r="GW25" s="1">
        <f>IF($D25="Spring Barley",$H25*SpringBarley!$M$118,0)</f>
        <v>0</v>
      </c>
      <c r="GX25" s="1">
        <f>IF($D25="Roundup Ready Spring Canola",$H25*'SpringCanola_R-Ready'!$M$118,0)</f>
        <v>0</v>
      </c>
      <c r="GY25" s="1">
        <f>IF($D25="Spring Canola",$H25*SpringCanola!$M$118,0)</f>
        <v>0</v>
      </c>
      <c r="GZ25" s="1">
        <f>IF($D25="Spring Lentils",$H25*SpringLentils!$M$118,0)</f>
        <v>0</v>
      </c>
      <c r="HA25" s="1">
        <f>IF($D25="SW Spring Wheat",$H25*SWSpringWheat!$M$118,0)</f>
        <v>0</v>
      </c>
      <c r="HB25" s="1">
        <f>IF($D25="HR Winter Wheat",$H25*HRWinterWheat!$M$118,0)</f>
        <v>0</v>
      </c>
      <c r="HC25" s="1">
        <f>IF($D25="Winter Pea",$H25*WinterPea!$M$118,0)</f>
        <v>0</v>
      </c>
      <c r="HD25" s="1">
        <f>IF($D25="Winter Canola",$H25*WinterCanola!$M$118,0)</f>
        <v>0</v>
      </c>
      <c r="HE25" s="322">
        <f>IF($D25="Forage Crop-Soil Builder Blend",$H25*ForageCrop!$M$118,0)</f>
        <v>0</v>
      </c>
      <c r="HF25" s="1">
        <f>IF($D25="SW Winter Wheat after Spring Legume",($H25*(SUM(SWWinterWheatAfterSpringLegume!$E$9:$E$16)+SWWinterWheatAfterSpringLegume!$G$16))/2000,0)</f>
        <v>0</v>
      </c>
      <c r="HG25" s="1">
        <f>IF($D25="SW Winter Wheat after Forage Crop",($H25*(SUM(SWWinterWheatAfterForageCrop!$E$9:$E$16)+SWWinterWheatAfterForageCrop!$G$17))/2000,0)</f>
        <v>0</v>
      </c>
      <c r="HH25" s="1">
        <f>IF($D25="DN Spring Wheat after Spring Legume",($H25*(SUM(DNSpringWinterAfterSpringLegume!$E$9:$E$16)+DNSpringWinterAfterSpringLegume!$G$16))/2000,0)</f>
        <v>0</v>
      </c>
      <c r="HI25" s="1">
        <f>IF($D25="DN Spring Wheat after Forage Crop",($H25*(SUM(DNSpringWheatAfterForageCrop!$E$9:$E$16)+DNSpringWheatAfterForageCrop!$G$14))/2000,0)</f>
        <v>0</v>
      </c>
      <c r="HJ25" s="1">
        <f>IF($D25="DN Spring Wheat after Winter Crop",($H25*(SUM(DNSpringWheatAfterWinterCrop!$E$9:$E$16)+DNSpringWheatAfterWinterCrop!$G$16))/2000,0)</f>
        <v>0</v>
      </c>
      <c r="HK25" s="1">
        <f>IF($D25="Chickpea after Forage Crop",($H25*(SUM(ChickpeaAfterForageCrop!$E$9:$E$16)+ChickpeaAfterForageCrop!$G$14))/2000,0)</f>
        <v>0</v>
      </c>
      <c r="HL25" s="1">
        <f>IF($D25="Chickpea after Cereal",($H25*(SUM(ChickpeaAfterCereal!$E$9:$E$16)+ChickpeaAfterCereal!$G$14))/2000,0)</f>
        <v>0</v>
      </c>
      <c r="HM25" s="1">
        <f>IF($D25="Spring Pea after Cereal",($H25*(SUM(SpringPeaAfterCereal!$E$9:$E$16)+SpringPeaAfterCereal!$G$14))/2000,0)</f>
        <v>0</v>
      </c>
      <c r="HN25" s="1">
        <f>IF($D25="Forage Crop-St. John Area",($H25*(SUM('ForageCrop-StJohn'!$E$9:$E$16)+'ForageCrop-StJohn'!$G$14))/2000,0)</f>
        <v>0</v>
      </c>
      <c r="HO25" s="1">
        <f>IF($D25="Forage Crop-Genesee Area",($H25*(SUM('ForageCrop-Genesee'!$E$9:$E$16)+'ForageCrop-Genesee'!$G$14))/2000,0)</f>
        <v>0</v>
      </c>
      <c r="HP25" s="1">
        <f>IF($D25="Livestock Grazing",($H25*(SUM(LivestockGrazing!$E$9:$E$16)+LivestockGrazing!$G$14))/2000,0)</f>
        <v>0</v>
      </c>
      <c r="HQ25" s="1">
        <f>IF($D25="SW Winter Wheat after Cereal",($H25*(SUM(SWWinterWheatafterCereal!$E$9:$E$16)+SWWinterWheatafterCereal!$G$16))/2000,0)</f>
        <v>0</v>
      </c>
      <c r="HR25" s="1">
        <f>IF($D25="SW Winter Wheat after Fallow",($H25*(SUM(SWWinterWheatAfterFallow!$E$9:$E$16)+SWWinterWheatAfterFallow!$G$14))/2000,0)</f>
        <v>0</v>
      </c>
      <c r="HS25" s="1">
        <f>IF($D25="Chem-Fallow",($H25*(SUM('Chem-Fallow'!$E$9:$E$16)+'Chem-Fallow'!$G$16))/2000,0)</f>
        <v>0</v>
      </c>
      <c r="HT25" s="1">
        <f>IF($D25="Flex-Fallow",($H25*(SUM('Flex-Fallow'!$E$9:$E$16)+'Flex-Fallow'!$G$16))/2000,0)</f>
        <v>0</v>
      </c>
      <c r="HU25" s="1">
        <f>IF($D25="Spring Barley",($H25*(SUM(SpringBarley!$E$9:$E$16)+SpringBarley!$G$16))/2000,0)</f>
        <v>0</v>
      </c>
      <c r="HV25" s="1">
        <f>IF($D25="Roundup Ready Spring Canola",($H25*(SUM('SpringCanola_R-Ready'!$E$9:$E$16)+'SpringCanola_R-Ready'!$G$14))/2000,0)</f>
        <v>0</v>
      </c>
      <c r="HW25" s="1">
        <f>IF($D25="Spring Canola",($H25*(SUM(SpringCanola!$E$9:$E$16)+SpringCanola!$G$14))/2000,0)</f>
        <v>0</v>
      </c>
      <c r="HX25" s="1">
        <f>IF($D25="Spriing Lentils",($H25*(SUM(SpringLentils!$E$9:$E$16)+SpringLentils!$G$14))/2000,0)</f>
        <v>0</v>
      </c>
      <c r="HY25" s="1">
        <f>IF($D25="SW Spring Wheat",($H25*(SUM(SWSpringWheat!$E$9:$E$16)+SWSpringWheat!$G$18))/2000,0)</f>
        <v>0</v>
      </c>
      <c r="HZ25" s="1">
        <f>IF($D25="HR Winter Wheat",($H25*(SUM(HRWinterWheat!$E$9:$E$16)+HRWinterWheat!$G$16))/2000,0)</f>
        <v>0</v>
      </c>
      <c r="IA25" s="1">
        <f>IF($D25="Winter Pea",($H25*(SUM(WinterPea!$E$9:$E$16)+WinterPea!$G$14))/2000,0)</f>
        <v>0</v>
      </c>
      <c r="IB25" s="1">
        <f>IF($D25="Winter Canola",($H25*(SUM(WinterCanola!$E$9:$E$16)+WinterCanola!$G$14))/2000,0)</f>
        <v>0</v>
      </c>
      <c r="IC25" s="322">
        <f>IF($D25="Forage Crop-Soil Builder Blend",($H25*(SUM(ForageCrop!$E$9:$E$16)+ForageCrop!$G$14))/2000,0)</f>
        <v>0</v>
      </c>
      <c r="ID25" s="1">
        <f>IF($D25="SW Winter Wheat after Spring Legume",$H25*SWWinterWheatAfterSpringLegume!$G$62,0)</f>
        <v>0</v>
      </c>
      <c r="IE25" s="1">
        <f>IF($D25="SW Winter Wheat after Forage Crop",$H25*SWWinterWheatAfterForageCrop!$G$62,0)</f>
        <v>0</v>
      </c>
      <c r="IF25" s="1">
        <f>IF($D25="DN Spring Wheat after Spring Legume",$H25*DNSpringWinterAfterSpringLegume!$G$62,0)</f>
        <v>0</v>
      </c>
      <c r="IG25" s="1">
        <f>IF($D25="DN Spring Wheat after Forage Crop",$H25*DNSpringWheatAfterForageCrop!$G$62,0)</f>
        <v>0</v>
      </c>
      <c r="IH25" s="1">
        <f>IF($D25="DN Spring Wheat after Winter Crop",$H25*DNSpringWheatAfterWinterCrop!$G$62,0)</f>
        <v>0</v>
      </c>
      <c r="II25" s="1">
        <f>IF($D25="Chickpea after Forage Crop",$H25*ChickpeaAfterForageCrop!$G$62,0)</f>
        <v>0</v>
      </c>
      <c r="IJ25" s="1">
        <f>IF($D25="Chickpea after Cereal",$H25*ChickpeaAfterCereal!$G$62,0)</f>
        <v>0</v>
      </c>
      <c r="IK25" s="1">
        <f>IF($D25="Spring Pea after Cereal",$H25*SpringPeaAfterCereal!$G$62,0)</f>
        <v>0</v>
      </c>
      <c r="IL25" s="1">
        <f>IF($D25="Forage Crop-St. John Area",$H25*'ForageCrop-StJohn'!$G$62,0)</f>
        <v>0</v>
      </c>
      <c r="IM25" s="1">
        <f>IF($D25="Forage Crop-Genesee Area",$H25*'ForageCrop-Genesee'!$G$62,0)</f>
        <v>0</v>
      </c>
      <c r="IN25" s="1">
        <f>IF($D25="Livestock Grazing",$H25*LivestockGrazing!$G$62,0)</f>
        <v>0</v>
      </c>
      <c r="IO25" s="1">
        <f>IF($D25="SW Winter Wheat after Cereal",$H25*SWWinterWheatafterCereal!$G$62,0)</f>
        <v>0</v>
      </c>
      <c r="IP25" s="1">
        <f>IF($D25="SW Winter Wheat after Fallow",$H25*SWWinterWheatAfterFallow!$G$62,0)</f>
        <v>0</v>
      </c>
      <c r="IQ25" s="1">
        <f>IF($D25="Chem-Fallow",$H25*'Chem-Fallow'!$G$62,0)</f>
        <v>0</v>
      </c>
      <c r="IR25" s="1">
        <f>IF($D25="Flex-Fallow",$H25*'Flex-Fallow'!$G$62,0)</f>
        <v>0</v>
      </c>
      <c r="IS25" s="1">
        <f>IF($D25="Spring Barley",$H25*SpringBarley!$G$62,0)</f>
        <v>0</v>
      </c>
      <c r="IT25" s="1">
        <f>IF($D25="Roundup Ready Spring Canola",$H25*'SpringCanola_R-Ready'!$G$62,0)</f>
        <v>0</v>
      </c>
      <c r="IU25" s="1">
        <f>IF($D25="Spring Canola",$H25*SpringCanola!$G$62,0)</f>
        <v>0</v>
      </c>
      <c r="IV25" s="1">
        <f>IF($D25="Spriing Lentils",$H25*SpringLentils!$G$62,0)</f>
        <v>0</v>
      </c>
      <c r="IW25" s="1">
        <f>IF($D25="SW Spring Wheat",$H25*SWSpringWheat!$G$62,0)</f>
        <v>0</v>
      </c>
      <c r="IX25" s="1">
        <f>IF($D25="HR Winter Wheat",$H25*HRWinterWheat!$G$62,0)</f>
        <v>0</v>
      </c>
      <c r="IY25" s="1">
        <f>IF($D25="Winter Pea",$H25*WinterPea!$G$62,0)</f>
        <v>0</v>
      </c>
      <c r="IZ25" s="1">
        <f>IF($D25="Winter Canola",$H25*+WinterCanola!$G$62,0)</f>
        <v>0</v>
      </c>
      <c r="JA25" s="1">
        <f>IF($D25="Forage Crop-Soil Builder Blend",$H25*ForageCrop!$G$62,0)</f>
        <v>0</v>
      </c>
      <c r="JB25" s="1">
        <f>IF($D25="SW Winter Wheat after Spring Legume",$H25*'Prices_Yields&amp;SeedInputs'!G5,0)</f>
        <v>0</v>
      </c>
      <c r="JC25" s="1">
        <f>IF($D25="SW Winter Wheat after Forage Crop",$H25*'Prices_Yields&amp;SeedInputs'!G6,0)</f>
        <v>0</v>
      </c>
      <c r="JD25" s="1">
        <f>IF($D25="DN Spring Wheat after Spring Legume",$H25*'Prices_Yields&amp;SeedInputs'!$G$7,0)</f>
        <v>0</v>
      </c>
      <c r="JE25" s="1">
        <f>IF($D25="DN Spring Wheat after Forage Crop",$H25*'Prices_Yields&amp;SeedInputs'!$G$8,0)</f>
        <v>0</v>
      </c>
      <c r="JF25" s="1">
        <f>IF($D25="DN Spring Wheat after Winter Crop",$H25*'Prices_Yields&amp;SeedInputs'!$G$9,0)</f>
        <v>0</v>
      </c>
      <c r="JG25" s="1">
        <f>IF($D25="Chickpea after Forage Crop",$H25*'Prices_Yields&amp;SeedInputs'!$G$10,0)</f>
        <v>0</v>
      </c>
      <c r="JH25" s="1">
        <f>IF($D25="Chickpea after Cereal",$H25*'Prices_Yields&amp;SeedInputs'!$G$11,0)</f>
        <v>0</v>
      </c>
      <c r="JI25" s="1">
        <f>IF($D25="Spring Pea after Cereal",$H25*'Prices_Yields&amp;SeedInputs'!$G$12,0)</f>
        <v>0</v>
      </c>
      <c r="JJ25" s="1">
        <f>IF($D25="Forage Crop-St. John Area",$H25*'Prices_Yields&amp;SeedInputs'!$G$13,0)</f>
        <v>0</v>
      </c>
      <c r="JK25" s="1">
        <f>IF($D25="Forage Crop-Genesee Area",$H25*'Prices_Yields&amp;SeedInputs'!$G$14,0)</f>
        <v>0</v>
      </c>
      <c r="JL25" s="1">
        <f>IF($D25="Livestock Grazing",$H25*'Prices_Yields&amp;SeedInputs'!$G$15,0)</f>
        <v>750</v>
      </c>
      <c r="JM25" s="1">
        <f>IF($D25="SW Winter Wheat after Cereal",$H25*'Prices_Yields&amp;SeedInputs'!$G$16,0)</f>
        <v>0</v>
      </c>
      <c r="JN25" s="1">
        <f>IF($D25="SW Winter Wheat after Fallow",$H25*'Prices_Yields&amp;SeedInputs'!$G$17,0)</f>
        <v>0</v>
      </c>
      <c r="JO25" s="1">
        <f>IF($D25="Chem-Fallow",$H25*'Prices_Yields&amp;SeedInputs'!$G$18,0)</f>
        <v>0</v>
      </c>
      <c r="JP25" s="1">
        <f>IF($D25="Flex-Fallow",$H25*'Prices_Yields&amp;SeedInputs'!$G$19,0)</f>
        <v>0</v>
      </c>
      <c r="JQ25" s="1">
        <f>IF($D25="Spring Barley",$H25*'Prices_Yields&amp;SeedInputs'!$G$20,0)</f>
        <v>0</v>
      </c>
      <c r="JR25" s="1">
        <f>IF($D25="Roundup Ready Spring Canola",$H25*'Prices_Yields&amp;SeedInputs'!$G$21,0)</f>
        <v>0</v>
      </c>
      <c r="JS25" s="1">
        <f>IF($D25="Spring Canola",$H25*'Prices_Yields&amp;SeedInputs'!$G$22,0)</f>
        <v>0</v>
      </c>
      <c r="JT25" s="1">
        <f>IF($D25="Spriing Lentils",$H25*'Prices_Yields&amp;SeedInputs'!$G$23,0)</f>
        <v>0</v>
      </c>
      <c r="JU25" s="1">
        <f>IF($D25="SW Spring Wheat",$H25*'Prices_Yields&amp;SeedInputs'!$G$24,0)</f>
        <v>0</v>
      </c>
      <c r="JV25" s="1">
        <f>IF($D25="HR Winter Wheat",$H25*'Prices_Yields&amp;SeedInputs'!$G$25,0)</f>
        <v>0</v>
      </c>
      <c r="JW25" s="1">
        <f>IF($D25="Winter Pea",$H25*'Prices_Yields&amp;SeedInputs'!$G$26,0)</f>
        <v>0</v>
      </c>
      <c r="JX25" s="1">
        <f>IF($D25="Winter Canola",$H25*'Prices_Yields&amp;SeedInputs'!$G$27,0)</f>
        <v>0</v>
      </c>
      <c r="JY25" s="1">
        <f>IF($D25="Forage Crop-Soil Builder Blend",$H25*'Prices_Yields&amp;SeedInputs'!$G$28,0)</f>
        <v>0</v>
      </c>
    </row>
    <row r="26" spans="1:285" ht="20" customHeight="1">
      <c r="A26" s="3"/>
      <c r="B26" s="607"/>
      <c r="C26" s="564">
        <v>4</v>
      </c>
      <c r="D26" s="565" t="s">
        <v>378</v>
      </c>
      <c r="E26" s="559">
        <v>0.3</v>
      </c>
      <c r="F26" s="560">
        <f>IF(D26="Livestock Grazing",0,E26)</f>
        <v>0.3</v>
      </c>
      <c r="G26" s="561">
        <f>IF(D26="Livestock Grazing",0,$I$2*E26)</f>
        <v>750</v>
      </c>
      <c r="H26" s="562">
        <f>$I$2*E26</f>
        <v>750</v>
      </c>
      <c r="I26" s="563">
        <f>SUM(AT26:BQ26)</f>
        <v>-13.48401809348772</v>
      </c>
      <c r="J26" s="140"/>
      <c r="K26" s="140"/>
      <c r="L26" s="140"/>
      <c r="M26" s="140"/>
      <c r="N26" s="5"/>
      <c r="O26" s="201"/>
      <c r="P26" s="196"/>
      <c r="Q26" s="197"/>
      <c r="R26" s="140"/>
      <c r="S26" s="140"/>
      <c r="T26" s="140"/>
      <c r="V26" s="1">
        <f>IF($D26="SW Winter Wheat after Spring Legume",$H26,0)</f>
        <v>0</v>
      </c>
      <c r="W26" s="1">
        <f>IF($D26="SW Winter Wheat after Forage Crop",$H26,0)</f>
        <v>0</v>
      </c>
      <c r="X26" s="1">
        <f>IF($D26="DN Spring Wheat after Spring Legume",$H26,0)</f>
        <v>0</v>
      </c>
      <c r="Y26" s="1">
        <f>IF($D26="DN Spring Wheat after Forage Crop",$H26,0)</f>
        <v>0</v>
      </c>
      <c r="Z26" s="1">
        <f>IF($D26="DN Spring Wheat after Winter Crop",$H26,0)</f>
        <v>0</v>
      </c>
      <c r="AA26" s="1">
        <f>IF($D26="Chickpea after Forage Crop",$H26,0)</f>
        <v>750</v>
      </c>
      <c r="AB26" s="1">
        <f>IF($D26="Chickpea after Cereal",$H26,0)</f>
        <v>0</v>
      </c>
      <c r="AC26" s="1">
        <f>IF($D26="Spring Pea after Cereal",$H26,0)</f>
        <v>0</v>
      </c>
      <c r="AD26" s="1">
        <f>IF($D26="Forage Crop-St. John Area",$H26,0)</f>
        <v>0</v>
      </c>
      <c r="AE26" s="1">
        <f>IF($D26="Forage Crop-Genesee Area",$H26,0)</f>
        <v>0</v>
      </c>
      <c r="AF26" s="1">
        <f>IF($D26="Livestock Grazing",$H26,0)</f>
        <v>0</v>
      </c>
      <c r="AG26" s="1">
        <f>IF($D26="SW Winter Wheat after Cereal",$H26,0)</f>
        <v>0</v>
      </c>
      <c r="AH26" s="1">
        <f>IF($D26="SW Winter Wheat after Fallow",$H26,0)</f>
        <v>0</v>
      </c>
      <c r="AI26" s="1">
        <f>IF($D26="Chem-Fallow",$H26,0)</f>
        <v>0</v>
      </c>
      <c r="AJ26" s="1">
        <f>IF($D26="Flex-Fallow",$H26,0)</f>
        <v>0</v>
      </c>
      <c r="AK26" s="1">
        <f>IF($D26="Spring Barley",$H26,0)</f>
        <v>0</v>
      </c>
      <c r="AL26" s="1">
        <f>IF($D26="Roundup Ready Spring Canola",$H26,0)</f>
        <v>0</v>
      </c>
      <c r="AM26" s="1">
        <f>IF($D26="Spring Canola",$H26,0)</f>
        <v>0</v>
      </c>
      <c r="AN26" s="1">
        <f>IF($D26="Spring Lentils",$H26,0)</f>
        <v>0</v>
      </c>
      <c r="AO26" s="1">
        <f>IF($D26="SW Spring Wheat",$H26,0)</f>
        <v>0</v>
      </c>
      <c r="AP26" s="1">
        <f>IF($D26="HR Winter Wheat",$H26,0)</f>
        <v>0</v>
      </c>
      <c r="AQ26" s="1">
        <f>IF($D26="Winter Pea",$H26,0)</f>
        <v>0</v>
      </c>
      <c r="AR26" s="1">
        <f>IF($D26="Winter Canola",$H26,0)</f>
        <v>0</v>
      </c>
      <c r="AS26" s="322">
        <f>IF($D26="Forage Crop-Soil Builder Blend",$H26,0)</f>
        <v>0</v>
      </c>
      <c r="AT26" s="1">
        <f>IF($D26="SW Winter Wheat after Spring Legume",SWWinterWheatAfterSpringLegume!$I$138,0)</f>
        <v>0</v>
      </c>
      <c r="AU26" s="1">
        <f>IF($D26="SW Winter Wheat after Forage Crop",SWWinterWheatAfterForageCrop!$I$138,0)</f>
        <v>0</v>
      </c>
      <c r="AV26" s="1">
        <f>IF($D26="DN Spring Wheat after Spring Legume",DNSpringWinterAfterSpringLegume!$I$138,0)</f>
        <v>0</v>
      </c>
      <c r="AW26" s="1">
        <f>IF($D26="DN Spring Wheat after Forage Crop",DNSpringWheatAfterForageCrop!$I$138,0)</f>
        <v>0</v>
      </c>
      <c r="AX26" s="1">
        <f>IF($D26="DN Spring Wheat after Winter Crop",DNSpringWheatAfterWinterCrop!$I$138,0)</f>
        <v>0</v>
      </c>
      <c r="AY26" s="1">
        <f>IF($D26="Chickpea after Forage Crop",ChickpeaAfterForageCrop!$I$138,0)</f>
        <v>-13.48401809348772</v>
      </c>
      <c r="AZ26" s="1">
        <f>IF($D26="Chickpea after Cereal",ChickpeaAfterCereal!$I$138,0)</f>
        <v>0</v>
      </c>
      <c r="BA26" s="1">
        <f>IF($D26="Spring Pea after Cereal",SpringPeaAfterCereal!$I$138,0)</f>
        <v>0</v>
      </c>
      <c r="BB26" s="1">
        <f>IF($D26="Forage Crop-St. John Area",'ForageCrop-StJohn'!$I$138,0)</f>
        <v>0</v>
      </c>
      <c r="BC26" s="1">
        <f>IF($D26="Forage Crop-Genesee Area",'ForageCrop-Genesee'!$I$138,0)</f>
        <v>0</v>
      </c>
      <c r="BD26" s="1">
        <f>IF($D26="Livestock Grazing",LivestockGrazing!$I$138,0)</f>
        <v>0</v>
      </c>
      <c r="BE26" s="1">
        <f>IF($D26="SW Winter Wheat after Cereal",SWWinterWheatafterCereal!$I$138,0)</f>
        <v>0</v>
      </c>
      <c r="BF26" s="1">
        <f>IF($D26="SW Winter Wheat after Fallow",SWWinterWheatAfterFallow!$I$138,0)</f>
        <v>0</v>
      </c>
      <c r="BG26" s="1">
        <f>IF($D26="Chem-Fallow",'Chem-Fallow'!$I$138,0)</f>
        <v>0</v>
      </c>
      <c r="BH26" s="1">
        <f>IF($D26="Flex-Fallow",'Flex-Fallow'!$I$138,0)</f>
        <v>0</v>
      </c>
      <c r="BI26" s="1">
        <f>IF($D26="Spring Barley",SpringBarley!$I$138,0)</f>
        <v>0</v>
      </c>
      <c r="BJ26" s="1">
        <f>IF($D26="Roundup Ready Spring Canola",'SpringCanola_R-Ready'!$I$138,0)</f>
        <v>0</v>
      </c>
      <c r="BK26" s="1">
        <f>IF($D26="Spring Canola",SpringCanola!$I$138,0)</f>
        <v>0</v>
      </c>
      <c r="BL26" s="1">
        <f>IF($D26="Spring Lentils",SpringLentils!$I$138,0)</f>
        <v>0</v>
      </c>
      <c r="BM26" s="1">
        <f>IF($D26="SW Spring Wheat",SWSpringWheat!$I$138,0)</f>
        <v>0</v>
      </c>
      <c r="BN26" s="1">
        <f>IF($D26="HR Winter Wheat",HRWinterWheat!$I$138,0)</f>
        <v>0</v>
      </c>
      <c r="BO26" s="1">
        <f>IF($D26="Winter Pea",WinterPea!$I$138,0)</f>
        <v>0</v>
      </c>
      <c r="BP26" s="1">
        <f>IF($D26="Winter Canola",WinterCanola!$I$138,0)</f>
        <v>0</v>
      </c>
      <c r="BQ26" s="322">
        <f>IF($D26="Forage Crop-Soil Builder Blend",ForageCrop!$I$138,0)</f>
        <v>0</v>
      </c>
      <c r="BR26" s="1">
        <f>IF($D26="SW Winter Wheat after Spring Legume",H26*SWWinterWheatAfterSpringLegume!$I$138,0)</f>
        <v>0</v>
      </c>
      <c r="BS26" s="1">
        <f>IF($D26="SW Winter Wheat after Forage Crop",H26*SWWinterWheatAfterForageCrop!$I$138,0)</f>
        <v>0</v>
      </c>
      <c r="BT26" s="1">
        <f>IF($D26="DN Spring Wheat after Spring Legume",H26*DNSpringWinterAfterSpringLegume!$I$138,0)</f>
        <v>0</v>
      </c>
      <c r="BU26" s="1">
        <f>IF($D26="DN Spring Wheat after Forage Crop",H26*DNSpringWheatAfterForageCrop!$I$138,0)</f>
        <v>0</v>
      </c>
      <c r="BV26" s="1">
        <f>IF($D26="DN Spring Wheat after Winter Crop",H26*DNSpringWheatAfterWinterCrop!$I$138,0)</f>
        <v>0</v>
      </c>
      <c r="BW26" s="1">
        <f>IF($D26="Chickpea after Forage Crop",H26*ChickpeaAfterForageCrop!$I$138,0)</f>
        <v>-10113.013570115791</v>
      </c>
      <c r="BX26" s="1">
        <f>IF($D26="Chickpea after Cereal",H26*ChickpeaAfterCereal!$I$138,0)</f>
        <v>0</v>
      </c>
      <c r="BY26" s="1">
        <f>IF($D26="Spring Pea after Cereal",H26*SpringPeaAfterCereal!$I$138,0)</f>
        <v>0</v>
      </c>
      <c r="BZ26" s="1">
        <f>IF($D26="Forage Crop-St. John Area",H26*'ForageCrop-StJohn'!$I$138,0)</f>
        <v>0</v>
      </c>
      <c r="CA26" s="1">
        <f>IF($D26="Forage Crop-Genesee Area",H26*'ForageCrop-Genesee'!$I$138,0)</f>
        <v>0</v>
      </c>
      <c r="CB26" s="1">
        <f>IF($D26="Livestock Grazing",H26*LivestockGrazing!$I$138,0)</f>
        <v>0</v>
      </c>
      <c r="CC26" s="1">
        <f>IF($D26="SW Winter Wheat after Cereal",H26*SWWinterWheatafterCereal!$I$138,0)</f>
        <v>0</v>
      </c>
      <c r="CD26" s="1">
        <f>IF($D26="SW Winter Wheat after Fallow",H26*SWWinterWheatAfterFallow!$I$138,0)</f>
        <v>0</v>
      </c>
      <c r="CE26" s="1">
        <f>IF($D26="Chem-Fallow",H26*'Chem-Fallow'!$I$138,0)</f>
        <v>0</v>
      </c>
      <c r="CF26" s="1">
        <f>IF($D26="Flex-Fallow",H26*'Flex-Fallow'!$I$138,0)</f>
        <v>0</v>
      </c>
      <c r="CG26" s="1">
        <f>IF($D26="Spring Barley",H26*SpringBarley!$I$138,0)</f>
        <v>0</v>
      </c>
      <c r="CH26" s="1">
        <f>IF($D26="Roundup Ready Spring Canola",H26*'SpringCanola_R-Ready'!$I$138,0)</f>
        <v>0</v>
      </c>
      <c r="CI26" s="1">
        <f>IF($D26="Spring Canola",H26*SpringCanola!$I$138,0)</f>
        <v>0</v>
      </c>
      <c r="CJ26" s="1">
        <f>IF($D26="Spring Lentils",H26*SpringLentils!$I$138,0)</f>
        <v>0</v>
      </c>
      <c r="CK26" s="1">
        <f>IF($D26="SW Spring Wheat",H26*SWSpringWheat!$I$138,0)</f>
        <v>0</v>
      </c>
      <c r="CL26" s="1">
        <f>IF($D26="HR Winter Wheat",H26*HRWinterWheat!$I$138,0)</f>
        <v>0</v>
      </c>
      <c r="CM26" s="1">
        <f>IF($D26="Winter Pea",H26*WinterPea!$I$138,0)</f>
        <v>0</v>
      </c>
      <c r="CN26" s="1">
        <f>IF($D26="Winter Canola",H26*WinterCanola!$I$138,0)</f>
        <v>0</v>
      </c>
      <c r="CO26" s="322">
        <f>IF($D26="Forage Crop-Soil Builder Blend",H26*ForageCrop!$I$138,0)</f>
        <v>0</v>
      </c>
      <c r="CP26" s="1">
        <f>IF($D26="SW Winter Wheat after Spring Legume",H26*'Prices_Yields&amp;SeedInputs'!J$5,0)</f>
        <v>0</v>
      </c>
      <c r="CQ26" s="1">
        <f>IF($D26="SW Winter Wheat after Forage Crop",H26*'Prices_Yields&amp;SeedInputs'!J$6,0)</f>
        <v>0</v>
      </c>
      <c r="CR26" s="1">
        <f>IF($D26="DN Spring Wheat after Spring Legume",H26*'Prices_Yields&amp;SeedInputs'!J$7,0)</f>
        <v>0</v>
      </c>
      <c r="CS26" s="1">
        <f>IF($D26="DN Spring Wheat after Forage Crop",H26*'Prices_Yields&amp;SeedInputs'!J$8,0)</f>
        <v>0</v>
      </c>
      <c r="CT26" s="1">
        <f>IF($D26="DN Spring Wheat after Winter Crop",H26*'Prices_Yields&amp;SeedInputs'!J$9,0)</f>
        <v>0</v>
      </c>
      <c r="CU26" s="1">
        <f>IF($D26="Chickpea after Forage Crop",H26*'Prices_Yields&amp;SeedInputs'!J$10,0)</f>
        <v>97500</v>
      </c>
      <c r="CV26" s="1">
        <f>IF($D26="Chickpea after Cereal",H26*'Prices_Yields&amp;SeedInputs'!J$11,0)</f>
        <v>0</v>
      </c>
      <c r="CW26" s="1">
        <f>IF($D26="Spring Pea after Cereal",H26*'Prices_Yields&amp;SeedInputs'!J$12,0)</f>
        <v>0</v>
      </c>
      <c r="CX26" s="1">
        <f>IF($D26="Forage Crop-St. John Area",H26*'Prices_Yields&amp;SeedInputs'!J$13,0)</f>
        <v>0</v>
      </c>
      <c r="CY26" s="1">
        <f>IF($D26="Forage Crop-Genesee Area",H26*'Prices_Yields&amp;SeedInputs'!J$14,0)</f>
        <v>0</v>
      </c>
      <c r="CZ26" s="1">
        <f>IF($D26="Livestock Grazing",H26*'Prices_Yields&amp;SeedInputs'!J$15,0)</f>
        <v>0</v>
      </c>
      <c r="DA26" s="1">
        <f>IF($D26="SW Winter Wheat after Cereal",H26*'Prices_Yields&amp;SeedInputs'!J$16,0)</f>
        <v>0</v>
      </c>
      <c r="DB26" s="1">
        <f>IF($D26="SW Winter Wheat after Fallow",H26*'Prices_Yields&amp;SeedInputs'!J$17,0)</f>
        <v>0</v>
      </c>
      <c r="DC26" s="1">
        <f>IF($D26="Chem-Fallow",H26*'Prices_Yields&amp;SeedInputs'!J$18,0)</f>
        <v>0</v>
      </c>
      <c r="DD26" s="1">
        <f>IF($D26="Flex-Fallow",H26*'Prices_Yields&amp;SeedInputs'!J$19,0)</f>
        <v>0</v>
      </c>
      <c r="DE26" s="1">
        <f>IF($D26="Spring Barley",H26*'Prices_Yields&amp;SeedInputs'!J$20,0)</f>
        <v>0</v>
      </c>
      <c r="DF26" s="1">
        <f>IF($D26="Roundup Ready Spring Canola",H26*'Prices_Yields&amp;SeedInputs'!J$21,0)</f>
        <v>0</v>
      </c>
      <c r="DG26" s="1">
        <f>IF($D26="Spring Canola",H26*'Prices_Yields&amp;SeedInputs'!J$22,0)</f>
        <v>0</v>
      </c>
      <c r="DH26" s="1">
        <f>IF($D26="Spring Lentils",H26*'Prices_Yields&amp;SeedInputs'!J$23,0)</f>
        <v>0</v>
      </c>
      <c r="DI26" s="1">
        <f>IF($D26="SW Spring Wheat",H26*'Prices_Yields&amp;SeedInputs'!J$24,0)</f>
        <v>0</v>
      </c>
      <c r="DJ26" s="1">
        <f>IF($D26="HR Winter Wheat",H26*'Prices_Yields&amp;SeedInputs'!J$25,0)</f>
        <v>0</v>
      </c>
      <c r="DK26" s="1">
        <f>IF($D26="Winter Pea",H26*'Prices_Yields&amp;SeedInputs'!J$26,0)</f>
        <v>0</v>
      </c>
      <c r="DL26" s="1">
        <f>IF($D26="Winter Canola",H26*'Prices_Yields&amp;SeedInputs'!J$27,0)</f>
        <v>0</v>
      </c>
      <c r="DM26" s="322">
        <f>IF($D26="Forage Crop-Soil Builder Blend",H26*'Prices_Yields&amp;SeedInputs'!J$28,0)</f>
        <v>0</v>
      </c>
      <c r="DN26" s="1">
        <f>IF($D26="SW Winter Wheat after Spring Legume",$H26*SWWinterWheatAfterSpringLegume!$I$135,0)</f>
        <v>0</v>
      </c>
      <c r="DO26" s="1">
        <f>IF($D26="SW Winter Wheat after Forage Crop",$H26*SWWinterWheatAfterForageCrop!$I$135,0)</f>
        <v>0</v>
      </c>
      <c r="DP26" s="1">
        <f>IF($D26="DN Spring Wheat after Spring Legume",$H26*DNSpringWinterAfterSpringLegume!$I$135,0)</f>
        <v>0</v>
      </c>
      <c r="DQ26" s="1">
        <f>IF($D26="DN Spring Wheat after Forage Crop",$H26*DNSpringWheatAfterForageCrop!$I$135,0)</f>
        <v>0</v>
      </c>
      <c r="DR26" s="1">
        <f>IF($D26="DN Spring Wheat after Winter Crop",$H26*DNSpringWheatAfterWinterCrop!$I$135,0)</f>
        <v>0</v>
      </c>
      <c r="DS26" s="1">
        <f>IF($D26="Chickpea after Forage Crop",$H26*ChickpeaAfterForageCrop!$I$135,0)</f>
        <v>17423.982235663589</v>
      </c>
      <c r="DT26" s="1">
        <f>IF($D26="Chickpea after Cereal",$H26*ChickpeaAfterCereal!$I$135,0)</f>
        <v>0</v>
      </c>
      <c r="DU26" s="1">
        <f>IF($D26="Spring Pea after Cereal",$H26*SpringPeaAfterCereal!$I$135,0)</f>
        <v>0</v>
      </c>
      <c r="DV26" s="1">
        <f>IF($D26="Forage Crop-St. John Area",$H26*'ForageCrop-StJohn'!$I$135,0)</f>
        <v>0</v>
      </c>
      <c r="DW26" s="1">
        <f>IF($D26="Forage Crop-Genesee Area",$H26*'ForageCrop-Genesee'!$I$135,0)</f>
        <v>0</v>
      </c>
      <c r="DX26" s="1">
        <f>IF($D26="Livestock Grazing",$H26*LivestockGrazing!$I$135,0)</f>
        <v>0</v>
      </c>
      <c r="DY26" s="1">
        <f>IF($D26="SW Winter Wheat after Cereal",$H26*SWWinterWheatafterCereal!$I$135,0)</f>
        <v>0</v>
      </c>
      <c r="DZ26" s="1">
        <f>IF($D26="SW Winter Wheat after Fallow",$H26*SWWinterWheatAfterFallow!$I$135,0)</f>
        <v>0</v>
      </c>
      <c r="EA26" s="1">
        <f>IF($D26="Chem-Fallow",$H26*'Chem-Fallow'!$I$135,0)</f>
        <v>0</v>
      </c>
      <c r="EB26" s="1">
        <f>IF($D26="Flex-Fallow",$H26*'Flex-Fallow'!$I$135,0)</f>
        <v>0</v>
      </c>
      <c r="EC26" s="1">
        <f>IF($D26="Spring Barley",$H26*SpringBarley!$I$135,0)</f>
        <v>0</v>
      </c>
      <c r="ED26" s="1">
        <f>IF($D26="Roundup Ready Spring Canola",$H26*'SpringCanola_R-Ready'!$I$135,0)</f>
        <v>0</v>
      </c>
      <c r="EE26" s="1">
        <f>IF($D26="Spring Canola",$H26*SpringCanola!$I$135,0)</f>
        <v>0</v>
      </c>
      <c r="EF26" s="1">
        <f>IF($D26="Spring Lentils",$H26*SpringLentils!$I$135,0)</f>
        <v>0</v>
      </c>
      <c r="EG26" s="1">
        <f>IF($D26="SW Spring Wheat",$H26*SWSpringWheat!$I$135,0)</f>
        <v>0</v>
      </c>
      <c r="EH26" s="1">
        <f>IF($D26="HR Winter Wheat",$H26*HRWinterWheat!$I$135,0)</f>
        <v>0</v>
      </c>
      <c r="EI26" s="1">
        <f>IF($D26="Winter Pea",$H26*WinterPea!$I$135,0)</f>
        <v>0</v>
      </c>
      <c r="EJ26" s="1">
        <f>IF($D26="Winter Canola",$H26*WinterCanola!$I$135,0)</f>
        <v>0</v>
      </c>
      <c r="EK26" s="322">
        <f>IF($D26="Forage Crop-Soil Builder Blend",$H26*ForageCrop!$I$135,0)</f>
        <v>0</v>
      </c>
      <c r="EL26" s="1">
        <f>IF($D26="SW Winter Wheat after Spring Legume",$H26*SWWinterWheatAfterSpringLegume!$J$116,0)</f>
        <v>0</v>
      </c>
      <c r="EM26" s="1">
        <f>IF($D26="SW Winter Wheat after Forage Crop",$H26*SWWinterWheatAfterForageCrop!$J$116,0)</f>
        <v>0</v>
      </c>
      <c r="EN26" s="1">
        <f>IF($D26="DN Spring Wheat after Spring Legume",$H26*DNSpringWinterAfterSpringLegume!$J$116,0)</f>
        <v>0</v>
      </c>
      <c r="EO26" s="1">
        <f>IF($D26="DN Spring Wheat after Forage Crop",$H26*DNSpringWheatAfterForageCrop!$J$116,0)</f>
        <v>0</v>
      </c>
      <c r="EP26" s="1">
        <f>IF($D26="DN Spring Wheat after Winter Crop",$H26*DNSpringWheatAfterWinterCrop!$J$116,0)</f>
        <v>0</v>
      </c>
      <c r="EQ26" s="1">
        <f>IF($D26="Chickpea after Forage Crop",$H26*ChickpeaAfterForageCrop!$J$116,0)</f>
        <v>11744.338800156656</v>
      </c>
      <c r="ER26" s="1">
        <f>IF($D26="Chickpea after Cereal",$H26*ChickpeaAfterCereal!$J$116,0)</f>
        <v>0</v>
      </c>
      <c r="ES26" s="1">
        <f>IF($D26="Spring Pea after Cereal",$H26*SpringPeaAfterCereal!$J$116,0)</f>
        <v>0</v>
      </c>
      <c r="ET26" s="1">
        <f>IF($D26="Forage Crop-St. John Area",$H26*'ForageCrop-StJohn'!$J$116,0)</f>
        <v>0</v>
      </c>
      <c r="EU26" s="1">
        <f>IF($D26="Forage Crop-Genesee Area",$H26*'ForageCrop-Genesee'!$J$116,0)</f>
        <v>0</v>
      </c>
      <c r="EV26" s="1">
        <f>IF($D26="Livestock Grazing",$H26*LivestockGrazing!$J$116,0)</f>
        <v>0</v>
      </c>
      <c r="EW26" s="1">
        <f>IF($D26="SW Winter Wheat after Cereal",$H26*SWWinterWheatafterCereal!$J$116,0)</f>
        <v>0</v>
      </c>
      <c r="EX26" s="1">
        <f>IF($D26="SW Winter Wheat after Fallow",$H26*SWWinterWheatAfterFallow!$J$116,0)</f>
        <v>0</v>
      </c>
      <c r="EY26" s="1">
        <f>IF($D26="Chem-Fallow",$H26*'Chem-Fallow'!$J$116,0)</f>
        <v>0</v>
      </c>
      <c r="EZ26" s="1">
        <f>IF($D26="Flex-Fallow",$H26*'Flex-Fallow'!$J$116,0)</f>
        <v>0</v>
      </c>
      <c r="FA26" s="1">
        <f>IF($D26="Spring Barley",$H26*SpringBarley!$J$116,0)</f>
        <v>0</v>
      </c>
      <c r="FB26" s="1">
        <f>IF($D26="Roundup Ready Spring Canola",$H26*'SpringCanola_R-Ready'!$J$116,0)</f>
        <v>0</v>
      </c>
      <c r="FC26" s="1">
        <f>IF($D26="Spring Canola",$H26*SpringCanola!$J$116,0)</f>
        <v>0</v>
      </c>
      <c r="FD26" s="1">
        <f>IF($D26="Spring Lentils",$H26*SpringLentils!$J$116,0)</f>
        <v>0</v>
      </c>
      <c r="FE26" s="1">
        <f>IF($D26="SW Spring Wheat",$H26*SWSpringWheat!$J$116,0)</f>
        <v>0</v>
      </c>
      <c r="FF26" s="1">
        <f>IF($D26="HR Winter Wheat",$H26*HRWinterWheat!$J$116,0)</f>
        <v>0</v>
      </c>
      <c r="FG26" s="1">
        <f>IF($D26="Winter Pea",$H26*WinterPea!$J$116,0)</f>
        <v>0</v>
      </c>
      <c r="FH26" s="1">
        <f>IF($D26="Winter Canola",$H26*WinterCanola!$J$116,0)</f>
        <v>0</v>
      </c>
      <c r="FI26" s="322">
        <f>IF($D26="Forage Crop-Soil Builder Blend",$H26*ForageCrop!$J$116,0)</f>
        <v>0</v>
      </c>
      <c r="FJ26" s="1">
        <f>IF($D26="SW Winter Wheat after Spring Legume",$H26*SWWinterWheatAfterSpringLegume!$J$117,0)</f>
        <v>0</v>
      </c>
      <c r="FK26" s="1">
        <f>IF($D26="SW Winter Wheat after Forage Crop",$H26*SWWinterWheatAfterForageCrop!$J$117,0)</f>
        <v>0</v>
      </c>
      <c r="FL26" s="1">
        <f>IF($D26="DN Spring Wheat after Spring Legume",$H26*DNSpringWinterAfterSpringLegume!$J$117,0)</f>
        <v>0</v>
      </c>
      <c r="FM26" s="1">
        <f>IF($D26="DN Spring Wheat after Forage Crop",$H26*DNSpringWheatAfterForageCrop!$J$117,0)</f>
        <v>0</v>
      </c>
      <c r="FN26" s="1">
        <f>IF($D26="DN Spring Wheat after Winter Crop",$H26*DNSpringWheatAfterWinterCrop!$J$117,0)</f>
        <v>0</v>
      </c>
      <c r="FO26" s="1">
        <f>IF($D26="Chickpea after Forage Crop",$H26*ChickpeaAfterForageCrop!$J$117,0)</f>
        <v>27087.466895704045</v>
      </c>
      <c r="FP26" s="1">
        <f>IF($D26="Chickpea after Cereal",$H26*ChickpeaAfterCereal!$J$117,0)</f>
        <v>0</v>
      </c>
      <c r="FQ26" s="1">
        <f>IF($D26="Spring Pea after Cereal",$H26*SpringPeaAfterCereal!$J$117,0)</f>
        <v>0</v>
      </c>
      <c r="FR26" s="1">
        <f>IF($D26="Forage Crop-St. John Area",$H26*'ForageCrop-StJohn'!$J$117,0)</f>
        <v>0</v>
      </c>
      <c r="FS26" s="1">
        <f>IF($D26="Forage Crop-Genesee Area",$H26*'ForageCrop-Genesee'!$J$117,0)</f>
        <v>0</v>
      </c>
      <c r="FT26" s="1">
        <f>IF($D26="Livestock Grazing",$H26*LivestockGrazing!$J$117,0)</f>
        <v>0</v>
      </c>
      <c r="FU26" s="1">
        <f>IF($D26="SW Winter Wheat after Cereal",$H26*SWWinterWheatafterCereal!$J$117,0)</f>
        <v>0</v>
      </c>
      <c r="FV26" s="1">
        <f>IF($D26="SW Winter Wheat after Fallow",$H26*SWWinterWheatAfterFallow!$J$117,0)</f>
        <v>0</v>
      </c>
      <c r="FW26" s="1">
        <f>IF($D26="Chem-Fallow",$H26*'Chem-Fallow'!$J$117,0)</f>
        <v>0</v>
      </c>
      <c r="FX26" s="1">
        <f>IF($D26="Flex-Fallow",$H26*'Flex-Fallow'!$J$117,0)</f>
        <v>0</v>
      </c>
      <c r="FY26" s="1">
        <f>IF($D26="Spring Barley",$H26*SpringBarley!$J$117,0)</f>
        <v>0</v>
      </c>
      <c r="FZ26" s="1">
        <f>IF($D26="Roundup Ready Spring Canola",$H26*'SpringCanola_R-Ready'!$J$117,0)</f>
        <v>0</v>
      </c>
      <c r="GA26" s="1">
        <f>IF($D26="Spring Canola",$H26*SpringCanola!$J$117,0)</f>
        <v>0</v>
      </c>
      <c r="GB26" s="1">
        <f>IF($D26="Spring Lentils",$H26*SpringLentils!$J$117,0)</f>
        <v>0</v>
      </c>
      <c r="GC26" s="1">
        <f>IF($D26="SW Spring Wheat",$H26*SWSpringWheat!$J$117,0)</f>
        <v>0</v>
      </c>
      <c r="GD26" s="1">
        <f>IF($D26="HR Winter Wheat",$H26*HRWinterWheat!$J$117,0)</f>
        <v>0</v>
      </c>
      <c r="GE26" s="1">
        <f>IF($D26="Winter Pea",$H26*WinterPea!$J$117,0)</f>
        <v>0</v>
      </c>
      <c r="GF26" s="1">
        <f>IF($D26="Winter Canola",$H26*WinterCanola!$J$117,0)</f>
        <v>0</v>
      </c>
      <c r="GG26" s="322">
        <f>IF($D26="Forage Crop-Soil Builder Blend",$H26*ForageCrop!$J$117,0)</f>
        <v>0</v>
      </c>
      <c r="GH26" s="1">
        <f>IF($D26="SW Winter Wheat after Spring Legume",$H26*SWWinterWheatAfterSpringLegume!$M$118,0)</f>
        <v>0</v>
      </c>
      <c r="GI26" s="1">
        <f>IF($D26="SW Winter Wheat after Forage Crop",$H26*SWWinterWheatAfterForageCrop!$M$118,0)</f>
        <v>0</v>
      </c>
      <c r="GJ26" s="1">
        <f>IF($D26="DN Spring Wheat after Spring Legume",$H26*DNSpringWinterAfterSpringLegume!$M$118,0)</f>
        <v>0</v>
      </c>
      <c r="GK26" s="1">
        <f>IF($D26="DN Spring Wheat after Forage Crop",$H26*DNSpringWheatAfterForageCrop!$M$118,0)</f>
        <v>0</v>
      </c>
      <c r="GL26" s="1">
        <f>IF($D26="DN Spring Wheat after Winter Crop",$H26*DNSpringWheatAfterWinterCrop!$M$118,0)</f>
        <v>0</v>
      </c>
      <c r="GM26" s="1">
        <f>IF($D26="Chickpea after Forage Crop",$H26*ChickpeaAfterForageCrop!$M$118,0)</f>
        <v>10918.685147908594</v>
      </c>
      <c r="GN26" s="1">
        <f>IF($D26="Chickpea after Cereal",$H26*ChickpeaAfterCereal!$M$118,0)</f>
        <v>0</v>
      </c>
      <c r="GO26" s="1">
        <f>IF($D26="Spring Pea after Cereal",$H26*SpringPeaAfterCereal!$M$118,0)</f>
        <v>0</v>
      </c>
      <c r="GP26" s="1">
        <f>IF($D26="Forage Crop-St. John Area",$H26*'ForageCrop-StJohn'!$M$118,0)</f>
        <v>0</v>
      </c>
      <c r="GQ26" s="1">
        <f>IF($D26="Forage Crop-Genesee Area",$H26*'ForageCrop-Genesee'!$M$118,0)</f>
        <v>0</v>
      </c>
      <c r="GR26" s="1">
        <f>IF($D26="Livestock Grazing",$H26*LivestockGrazing!$M$118,0)</f>
        <v>0</v>
      </c>
      <c r="GS26" s="1">
        <f>IF($D26="SW Winter Wheat after Cereal",$H26*SWWinterWheatafterCereal!$M$118,0)</f>
        <v>0</v>
      </c>
      <c r="GT26" s="1">
        <f>IF($D26="SW Winter Wheat after Fallow",$H26*SWWinterWheatAfterFallow!$M$118,0)</f>
        <v>0</v>
      </c>
      <c r="GU26" s="1">
        <f>IF($D26="Chem-Fallow",$H26*'Chem-Fallow'!$M$118,0)</f>
        <v>0</v>
      </c>
      <c r="GV26" s="1">
        <f>IF($D26="Flex-Fallow",$H26*'Flex-Fallow'!$M$118,0)</f>
        <v>0</v>
      </c>
      <c r="GW26" s="1">
        <f>IF($D26="Spring Barley",$H26*SpringBarley!$M$118,0)</f>
        <v>0</v>
      </c>
      <c r="GX26" s="1">
        <f>IF($D26="Roundup Ready Spring Canola",$H26*'SpringCanola_R-Ready'!$M$118,0)</f>
        <v>0</v>
      </c>
      <c r="GY26" s="1">
        <f>IF($D26="Spring Canola",$H26*SpringCanola!$M$118,0)</f>
        <v>0</v>
      </c>
      <c r="GZ26" s="1">
        <f>IF($D26="Spring Lentils",$H26*SpringLentils!$M$118,0)</f>
        <v>0</v>
      </c>
      <c r="HA26" s="1">
        <f>IF($D26="SW Spring Wheat",$H26*SWSpringWheat!$M$118,0)</f>
        <v>0</v>
      </c>
      <c r="HB26" s="1">
        <f>IF($D26="HR Winter Wheat",$H26*HRWinterWheat!$M$118,0)</f>
        <v>0</v>
      </c>
      <c r="HC26" s="1">
        <f>IF($D26="Winter Pea",$H26*WinterPea!$M$118,0)</f>
        <v>0</v>
      </c>
      <c r="HD26" s="1">
        <f>IF($D26="Winter Canola",$H26*WinterCanola!$M$118,0)</f>
        <v>0</v>
      </c>
      <c r="HE26" s="322">
        <f>IF($D26="Forage Crop-Soil Builder Blend",$H26*ForageCrop!$M$118,0)</f>
        <v>0</v>
      </c>
      <c r="HF26" s="1">
        <f>IF($D26="SW Winter Wheat after Spring Legume",($H26*(SUM(SWWinterWheatAfterSpringLegume!$E$9:$E$16)+SWWinterWheatAfterSpringLegume!$G$16))/2000,0)</f>
        <v>0</v>
      </c>
      <c r="HG26" s="1">
        <f>IF($D26="SW Winter Wheat after Forage Crop",($H26*(SUM(SWWinterWheatAfterForageCrop!$E$9:$E$16)+SWWinterWheatAfterForageCrop!$G$17))/2000,0)</f>
        <v>0</v>
      </c>
      <c r="HH26" s="1">
        <f>IF($D26="DN Spring Wheat after Spring Legume",($H26*(SUM(DNSpringWinterAfterSpringLegume!$E$9:$E$16)+DNSpringWinterAfterSpringLegume!$G$16))/2000,0)</f>
        <v>0</v>
      </c>
      <c r="HI26" s="1">
        <f>IF($D26="DN Spring Wheat after Forage Crop",($H26*(SUM(DNSpringWheatAfterForageCrop!$E$9:$E$16)+DNSpringWheatAfterForageCrop!$G$14))/2000,0)</f>
        <v>0</v>
      </c>
      <c r="HJ26" s="1">
        <f>IF($D26="DN Spring Wheat after Winter Crop",($H26*(SUM(DNSpringWheatAfterWinterCrop!$E$9:$E$16)+DNSpringWheatAfterWinterCrop!$G$16))/2000,0)</f>
        <v>0</v>
      </c>
      <c r="HK26" s="1">
        <f>IF($D26="Chickpea after Forage Crop",($H26*(SUM(ChickpeaAfterForageCrop!$E$9:$E$16)+ChickpeaAfterForageCrop!$G$14))/2000,0)</f>
        <v>0.64248046874999998</v>
      </c>
      <c r="HL26" s="1">
        <f>IF($D26="Chickpea after Cereal",($H26*(SUM(ChickpeaAfterCereal!$E$9:$E$16)+ChickpeaAfterCereal!$G$14))/2000,0)</f>
        <v>0</v>
      </c>
      <c r="HM26" s="1">
        <f>IF($D26="Spring Pea after Cereal",($H26*(SUM(SpringPeaAfterCereal!$E$9:$E$16)+SpringPeaAfterCereal!$G$14))/2000,0)</f>
        <v>0</v>
      </c>
      <c r="HN26" s="1">
        <f>IF($D26="Forage Crop-St. John Area",($H26*(SUM('ForageCrop-StJohn'!$E$9:$E$16)+'ForageCrop-StJohn'!$G$14))/2000,0)</f>
        <v>0</v>
      </c>
      <c r="HO26" s="1">
        <f>IF($D26="Forage Crop-Genesee Area",($H26*(SUM('ForageCrop-Genesee'!$E$9:$E$16)+'ForageCrop-Genesee'!$G$14))/2000,0)</f>
        <v>0</v>
      </c>
      <c r="HP26" s="1">
        <f>IF($D26="Livestock Grazing",($H26*(SUM(LivestockGrazing!$E$9:$E$16)+LivestockGrazing!$G$14))/2000,0)</f>
        <v>0</v>
      </c>
      <c r="HQ26" s="1">
        <f>IF($D26="SW Winter Wheat after Cereal",($H26*(SUM(SWWinterWheatafterCereal!$E$9:$E$16)+SWWinterWheatafterCereal!$G$16))/2000,0)</f>
        <v>0</v>
      </c>
      <c r="HR26" s="1">
        <f>IF($D26="SW Winter Wheat after Fallow",($H26*(SUM(SWWinterWheatAfterFallow!$E$9:$E$16)+SWWinterWheatAfterFallow!$G$14))/2000,0)</f>
        <v>0</v>
      </c>
      <c r="HS26" s="1">
        <f>IF($D26="Chem-Fallow",($H26*(SUM('Chem-Fallow'!$E$9:$E$16)+'Chem-Fallow'!$G$16))/2000,0)</f>
        <v>0</v>
      </c>
      <c r="HT26" s="1">
        <f>IF($D26="Flex-Fallow",($H26*(SUM('Flex-Fallow'!$E$9:$E$16)+'Flex-Fallow'!$G$16))/2000,0)</f>
        <v>0</v>
      </c>
      <c r="HU26" s="1">
        <f>IF($D26="Spring Barley",($H26*(SUM(SpringBarley!$E$9:$E$16)+SpringBarley!$G$16))/2000,0)</f>
        <v>0</v>
      </c>
      <c r="HV26" s="1">
        <f>IF($D26="Roundup Ready Spring Canola",($H26*(SUM('SpringCanola_R-Ready'!$E$9:$E$16)+'SpringCanola_R-Ready'!$G$14))/2000,0)</f>
        <v>0</v>
      </c>
      <c r="HW26" s="1">
        <f>IF($D26="Spring Canola",($H26*(SUM(SpringCanola!$E$9:$E$16)+SpringCanola!$G$14))/2000,0)</f>
        <v>0</v>
      </c>
      <c r="HX26" s="1">
        <f>IF($D26="Spriing Lentils",($H26*(SUM(SpringLentils!$E$9:$E$16)+SpringLentils!$G$14))/2000,0)</f>
        <v>0</v>
      </c>
      <c r="HY26" s="1">
        <f>IF($D26="SW Spring Wheat",($H26*(SUM(SWSpringWheat!$E$9:$E$16)+SWSpringWheat!$G$18))/2000,0)</f>
        <v>0</v>
      </c>
      <c r="HZ26" s="1">
        <f>IF($D26="HR Winter Wheat",($H26*(SUM(HRWinterWheat!$E$9:$E$16)+HRWinterWheat!$G$16))/2000,0)</f>
        <v>0</v>
      </c>
      <c r="IA26" s="1">
        <f>IF($D26="Winter Pea",($H26*(SUM(WinterPea!$E$9:$E$16)+WinterPea!$G$14))/2000,0)</f>
        <v>0</v>
      </c>
      <c r="IB26" s="1">
        <f>IF($D26="Winter Canola",($H26*(SUM(WinterCanola!$E$9:$E$16)+WinterCanola!$G$14))/2000,0)</f>
        <v>0</v>
      </c>
      <c r="IC26" s="322">
        <f>IF($D26="Forage Crop-Soil Builder Blend",($H26*(SUM(ForageCrop!$E$9:$E$16)+ForageCrop!$G$14))/2000,0)</f>
        <v>0</v>
      </c>
      <c r="ID26" s="1">
        <f>IF($D26="SW Winter Wheat after Spring Legume",$H26*SWWinterWheatAfterSpringLegume!$G$62,0)</f>
        <v>0</v>
      </c>
      <c r="IE26" s="1">
        <f>IF($D26="SW Winter Wheat after Forage Crop",$H26*SWWinterWheatAfterForageCrop!$G$62,0)</f>
        <v>0</v>
      </c>
      <c r="IF26" s="1">
        <f>IF($D26="DN Spring Wheat after Spring Legume",$H26*DNSpringWinterAfterSpringLegume!$G$62,0)</f>
        <v>0</v>
      </c>
      <c r="IG26" s="1">
        <f>IF($D26="DN Spring Wheat after Forage Crop",$H26*DNSpringWheatAfterForageCrop!$G$62,0)</f>
        <v>0</v>
      </c>
      <c r="IH26" s="1">
        <f>IF($D26="DN Spring Wheat after Winter Crop",$H26*DNSpringWheatAfterWinterCrop!$G$62,0)</f>
        <v>0</v>
      </c>
      <c r="II26" s="1">
        <f>IF($D26="Chickpea after Forage Crop",$H26*ChickpeaAfterForageCrop!$G$62,0)</f>
        <v>282.421875</v>
      </c>
      <c r="IJ26" s="1">
        <f>IF($D26="Chickpea after Cereal",$H26*ChickpeaAfterCereal!$G$62,0)</f>
        <v>0</v>
      </c>
      <c r="IK26" s="1">
        <f>IF($D26="Spring Pea after Cereal",$H26*SpringPeaAfterCereal!$G$62,0)</f>
        <v>0</v>
      </c>
      <c r="IL26" s="1">
        <f>IF($D26="Forage Crop-St. John Area",$H26*'ForageCrop-StJohn'!$G$62,0)</f>
        <v>0</v>
      </c>
      <c r="IM26" s="1">
        <f>IF($D26="Forage Crop-Genesee Area",$H26*'ForageCrop-Genesee'!$G$62,0)</f>
        <v>0</v>
      </c>
      <c r="IN26" s="1">
        <f>IF($D26="Livestock Grazing",$H26*LivestockGrazing!$G$62,0)</f>
        <v>0</v>
      </c>
      <c r="IO26" s="1">
        <f>IF($D26="SW Winter Wheat after Cereal",$H26*SWWinterWheatafterCereal!$G$62,0)</f>
        <v>0</v>
      </c>
      <c r="IP26" s="1">
        <f>IF($D26="SW Winter Wheat after Fallow",$H26*SWWinterWheatAfterFallow!$G$62,0)</f>
        <v>0</v>
      </c>
      <c r="IQ26" s="1">
        <f>IF($D26="Chem-Fallow",$H26*'Chem-Fallow'!$G$62,0)</f>
        <v>0</v>
      </c>
      <c r="IR26" s="1">
        <f>IF($D26="Flex-Fallow",$H26*'Flex-Fallow'!$G$62,0)</f>
        <v>0</v>
      </c>
      <c r="IS26" s="1">
        <f>IF($D26="Spring Barley",$H26*SpringBarley!$G$62,0)</f>
        <v>0</v>
      </c>
      <c r="IT26" s="1">
        <f>IF($D26="Roundup Ready Spring Canola",$H26*'SpringCanola_R-Ready'!$G$62,0)</f>
        <v>0</v>
      </c>
      <c r="IU26" s="1">
        <f>IF($D26="Spring Canola",$H26*SpringCanola!$G$62,0)</f>
        <v>0</v>
      </c>
      <c r="IV26" s="1">
        <f>IF($D26="Spriing Lentils",$H26*SpringLentils!$G$62,0)</f>
        <v>0</v>
      </c>
      <c r="IW26" s="1">
        <f>IF($D26="SW Spring Wheat",$H26*SWSpringWheat!$G$62,0)</f>
        <v>0</v>
      </c>
      <c r="IX26" s="1">
        <f>IF($D26="HR Winter Wheat",$H26*HRWinterWheat!$G$62,0)</f>
        <v>0</v>
      </c>
      <c r="IY26" s="1">
        <f>IF($D26="Winter Pea",$H26*WinterPea!$G$62,0)</f>
        <v>0</v>
      </c>
      <c r="IZ26" s="1">
        <f>IF($D26="Winter Canola",$H26*+WinterCanola!$G$62,0)</f>
        <v>0</v>
      </c>
      <c r="JA26" s="1">
        <f>IF($D26="Forage Crop-Soil Builder Blend",$H26*ForageCrop!$G$62,0)</f>
        <v>0</v>
      </c>
      <c r="JB26" s="1">
        <f>IF($D26="SW Winter Wheat after Spring Legume",$H26*'Prices_Yields&amp;SeedInputs'!G5,0)</f>
        <v>0</v>
      </c>
      <c r="JC26" s="1">
        <f>IF($D26="SW Winter Wheat after Forage Crop",$H26*'Prices_Yields&amp;SeedInputs'!G6,0)</f>
        <v>0</v>
      </c>
      <c r="JD26" s="1">
        <f>IF($D26="DN Spring Wheat after Spring Legume",$H26*'Prices_Yields&amp;SeedInputs'!$G$7,0)</f>
        <v>0</v>
      </c>
      <c r="JE26" s="1">
        <f>IF($D26="DN Spring Wheat after Forage Crop",$H26*'Prices_Yields&amp;SeedInputs'!$G$8,0)</f>
        <v>0</v>
      </c>
      <c r="JF26" s="1">
        <f>IF($D26="DN Spring Wheat after Winter Crop",$H26*'Prices_Yields&amp;SeedInputs'!$G$9,0)</f>
        <v>0</v>
      </c>
      <c r="JG26" s="1">
        <f>IF($D26="Chickpea after Forage Crop",$H26*'Prices_Yields&amp;SeedInputs'!$G$10,0)</f>
        <v>1050000</v>
      </c>
      <c r="JH26" s="1">
        <f>IF($D26="Chickpea after Cereal",$H26*'Prices_Yields&amp;SeedInputs'!$G$11,0)</f>
        <v>0</v>
      </c>
      <c r="JI26" s="1">
        <f>IF($D26="Spring Pea after Cereal",$H26*'Prices_Yields&amp;SeedInputs'!$G$12,0)</f>
        <v>0</v>
      </c>
      <c r="JJ26" s="1">
        <f>IF($D26="Forage Crop-St. John Area",$H26*'Prices_Yields&amp;SeedInputs'!$G$13,0)</f>
        <v>0</v>
      </c>
      <c r="JK26" s="1">
        <f>IF($D26="Forage Crop-Genesee Area",$H26*'Prices_Yields&amp;SeedInputs'!$G$14,0)</f>
        <v>0</v>
      </c>
      <c r="JL26" s="1">
        <f>IF($D26="Livestock Grazing",$H26*'Prices_Yields&amp;SeedInputs'!$G$15,0)</f>
        <v>0</v>
      </c>
      <c r="JM26" s="1">
        <f>IF($D26="SW Winter Wheat after Cereal",$H26*'Prices_Yields&amp;SeedInputs'!$G$16,0)</f>
        <v>0</v>
      </c>
      <c r="JN26" s="1">
        <f>IF($D26="SW Winter Wheat after Fallow",$H26*'Prices_Yields&amp;SeedInputs'!$G$17,0)</f>
        <v>0</v>
      </c>
      <c r="JO26" s="1">
        <f>IF($D26="Chem-Fallow",$H26*'Prices_Yields&amp;SeedInputs'!$G$18,0)</f>
        <v>0</v>
      </c>
      <c r="JP26" s="1">
        <f>IF($D26="Flex-Fallow",$H26*'Prices_Yields&amp;SeedInputs'!$G$19,0)</f>
        <v>0</v>
      </c>
      <c r="JQ26" s="1">
        <f>IF($D26="Spring Barley",$H26*'Prices_Yields&amp;SeedInputs'!$G$20,0)</f>
        <v>0</v>
      </c>
      <c r="JR26" s="1">
        <f>IF($D26="Roundup Ready Spring Canola",$H26*'Prices_Yields&amp;SeedInputs'!$G$21,0)</f>
        <v>0</v>
      </c>
      <c r="JS26" s="1">
        <f>IF($D26="Spring Canola",$H26*'Prices_Yields&amp;SeedInputs'!$G$22,0)</f>
        <v>0</v>
      </c>
      <c r="JT26" s="1">
        <f>IF($D26="Spriing Lentils",$H26*'Prices_Yields&amp;SeedInputs'!$G$23,0)</f>
        <v>0</v>
      </c>
      <c r="JU26" s="1">
        <f>IF($D26="SW Spring Wheat",$H26*'Prices_Yields&amp;SeedInputs'!$G$24,0)</f>
        <v>0</v>
      </c>
      <c r="JV26" s="1">
        <f>IF($D26="HR Winter Wheat",$H26*'Prices_Yields&amp;SeedInputs'!$G$25,0)</f>
        <v>0</v>
      </c>
      <c r="JW26" s="1">
        <f>IF($D26="Winter Pea",$H26*'Prices_Yields&amp;SeedInputs'!$G$26,0)</f>
        <v>0</v>
      </c>
      <c r="JX26" s="1">
        <f>IF($D26="Winter Canola",$H26*'Prices_Yields&amp;SeedInputs'!$G$27,0)</f>
        <v>0</v>
      </c>
      <c r="JY26" s="1">
        <f>IF($D26="Forage Crop-Soil Builder Blend",$H26*'Prices_Yields&amp;SeedInputs'!$G$28,0)</f>
        <v>0</v>
      </c>
    </row>
    <row r="27" spans="1:285" ht="20" customHeight="1">
      <c r="A27" s="3" t="s">
        <v>195</v>
      </c>
      <c r="B27" s="608"/>
      <c r="C27" s="566">
        <v>5</v>
      </c>
      <c r="D27" s="567"/>
      <c r="E27" s="568">
        <v>0</v>
      </c>
      <c r="F27" s="555">
        <f>IF(D27="Livestock Grazing",0,E27)</f>
        <v>0</v>
      </c>
      <c r="G27" s="569">
        <f>IF(D27="Livestock Grazing",0,$I$2*E27)</f>
        <v>0</v>
      </c>
      <c r="H27" s="556">
        <f>$I$2*E27</f>
        <v>0</v>
      </c>
      <c r="I27" s="570">
        <f>SUM(AT27:BQ27)</f>
        <v>0</v>
      </c>
      <c r="J27" s="140"/>
      <c r="K27" s="140"/>
      <c r="L27" s="140"/>
      <c r="M27" s="140"/>
      <c r="N27" s="194"/>
      <c r="O27" s="194"/>
      <c r="P27" s="194"/>
      <c r="Q27" s="194"/>
      <c r="R27" s="140"/>
      <c r="S27" s="140"/>
      <c r="T27" s="140"/>
      <c r="V27" s="1">
        <f>IF($D27="SW Winter Wheat after Spring Legume",$H27,0)</f>
        <v>0</v>
      </c>
      <c r="W27" s="1">
        <f>IF($D27="SW Winter Wheat after Forage Crop",$H27,0)</f>
        <v>0</v>
      </c>
      <c r="X27" s="1">
        <f>IF($D27="DN Spring Wheat after Spring Legume",$H27,0)</f>
        <v>0</v>
      </c>
      <c r="Y27" s="1">
        <f>IF($D27="DN Spring Wheat after Forage Crop",$H27,0)</f>
        <v>0</v>
      </c>
      <c r="Z27" s="1">
        <f>IF($D27="DN Spring Wheat after Winter Crop",$H27,0)</f>
        <v>0</v>
      </c>
      <c r="AA27" s="1">
        <f>IF($D27="Chickpea after Forage Crop",$H27,0)</f>
        <v>0</v>
      </c>
      <c r="AB27" s="1">
        <f>IF($D27="Chickpea after Cereal",$H27,0)</f>
        <v>0</v>
      </c>
      <c r="AC27" s="1">
        <f>IF($D27="Spring Pea after Cereal",$H27,0)</f>
        <v>0</v>
      </c>
      <c r="AD27" s="1">
        <f>IF($D27="Forage Crop-St. John Area",$H27,0)</f>
        <v>0</v>
      </c>
      <c r="AE27" s="1">
        <f>IF($D27="Forage Crop-Genesee Area",$H27,0)</f>
        <v>0</v>
      </c>
      <c r="AF27" s="1">
        <f>IF($D27="Livestock Grazing",$H27,0)</f>
        <v>0</v>
      </c>
      <c r="AG27" s="1">
        <f>IF($D27="SW Winter Wheat after Cereal",$H27,0)</f>
        <v>0</v>
      </c>
      <c r="AH27" s="1">
        <f>IF($D27="SW Winter Wheat after Fallow",$H27,0)</f>
        <v>0</v>
      </c>
      <c r="AI27" s="1">
        <f>IF($D27="Chem-Fallow",$H27,0)</f>
        <v>0</v>
      </c>
      <c r="AJ27" s="1">
        <f>IF($D27="Flex-Fallow",$H27,0)</f>
        <v>0</v>
      </c>
      <c r="AK27" s="1">
        <f>IF($D27="Spring Barley",$H27,0)</f>
        <v>0</v>
      </c>
      <c r="AL27" s="1">
        <f>IF($D27="Roundup Ready Spring Canola",$H27,0)</f>
        <v>0</v>
      </c>
      <c r="AM27" s="1">
        <f>IF($D27="Spring Canola",$H27,0)</f>
        <v>0</v>
      </c>
      <c r="AN27" s="1">
        <f>IF($D27="Spring Lentils",$H27,0)</f>
        <v>0</v>
      </c>
      <c r="AO27" s="1">
        <f>IF($D27="SW Spring Wheat",$H27,0)</f>
        <v>0</v>
      </c>
      <c r="AP27" s="1">
        <f>IF($D27="HR Winter Wheat",$H27,0)</f>
        <v>0</v>
      </c>
      <c r="AQ27" s="1">
        <f>IF($D27="Winter Pea",$H27,0)</f>
        <v>0</v>
      </c>
      <c r="AR27" s="1">
        <f>IF($D27="Winter Canola",$H27,0)</f>
        <v>0</v>
      </c>
      <c r="AS27" s="322">
        <f>IF($D27="Forage Crop-Soil Builder Blend",$H27,0)</f>
        <v>0</v>
      </c>
      <c r="AT27" s="1">
        <f>IF($D27="SW Winter Wheat after Spring Legume",SWWinterWheatAfterSpringLegume!$I$138,0)</f>
        <v>0</v>
      </c>
      <c r="AU27" s="1">
        <f>IF($D27="SW Winter Wheat after Forage Crop",SWWinterWheatAfterForageCrop!$I$138,0)</f>
        <v>0</v>
      </c>
      <c r="AV27" s="1">
        <f>IF($D27="DN Spring Wheat after Spring Legume",DNSpringWinterAfterSpringLegume!$I$138,0)</f>
        <v>0</v>
      </c>
      <c r="AW27" s="1">
        <f>IF($D27="DN Spring Wheat after Forage Crop",DNSpringWheatAfterForageCrop!$I$138,0)</f>
        <v>0</v>
      </c>
      <c r="AX27" s="1">
        <f>IF($D27="DN Spring Wheat after Winter Crop",DNSpringWheatAfterWinterCrop!$I$138,0)</f>
        <v>0</v>
      </c>
      <c r="AY27" s="1">
        <f>IF($D27="Chickpea after Forage Crop",ChickpeaAfterForageCrop!$I$138,0)</f>
        <v>0</v>
      </c>
      <c r="AZ27" s="1">
        <f>IF($D27="Chickpea after Cereal",ChickpeaAfterCereal!$I$138,0)</f>
        <v>0</v>
      </c>
      <c r="BA27" s="1">
        <f>IF($D27="Spring Pea after Cereal",SpringPeaAfterCereal!$I$138,0)</f>
        <v>0</v>
      </c>
      <c r="BB27" s="1">
        <f>IF($D27="Forage Crop-St. John Area",'ForageCrop-StJohn'!$I$138,0)</f>
        <v>0</v>
      </c>
      <c r="BC27" s="1">
        <f>IF($D27="Forage Crop-Genesee Area",'ForageCrop-Genesee'!$I$138,0)</f>
        <v>0</v>
      </c>
      <c r="BD27" s="1">
        <f>IF($D27="Livestock Grazing",LivestockGrazing!$I$138,0)</f>
        <v>0</v>
      </c>
      <c r="BE27" s="1">
        <f>IF($D27="SW Winter Wheat after Cereal",SWWinterWheatafterCereal!$I$138,0)</f>
        <v>0</v>
      </c>
      <c r="BF27" s="1">
        <f>IF($D27="SW Winter Wheat after Fallow",SWWinterWheatAfterFallow!$I$138,0)</f>
        <v>0</v>
      </c>
      <c r="BG27" s="1">
        <f>IF($D27="Chem-Fallow",'Chem-Fallow'!$I$138,0)</f>
        <v>0</v>
      </c>
      <c r="BH27" s="1">
        <f>IF($D27="Flex-Fallow",'Flex-Fallow'!$I$138,0)</f>
        <v>0</v>
      </c>
      <c r="BI27" s="1">
        <f>IF($D27="Spring Barley",SpringBarley!$I$138,0)</f>
        <v>0</v>
      </c>
      <c r="BJ27" s="1">
        <f>IF($D27="Roundup Ready Spring Canola",'SpringCanola_R-Ready'!$I$138,0)</f>
        <v>0</v>
      </c>
      <c r="BK27" s="1">
        <f>IF($D27="Spring Canola",SpringCanola!$I$138,0)</f>
        <v>0</v>
      </c>
      <c r="BL27" s="1">
        <f>IF($D27="Spring Lentils",SpringLentils!$I$138,0)</f>
        <v>0</v>
      </c>
      <c r="BM27" s="1">
        <f>IF($D27="SW Spring Wheat",SWSpringWheat!$I$138,0)</f>
        <v>0</v>
      </c>
      <c r="BN27" s="1">
        <f>IF($D27="HR Winter Wheat",HRWinterWheat!$I$138,0)</f>
        <v>0</v>
      </c>
      <c r="BO27" s="1">
        <f>IF($D27="Winter Pea",WinterPea!$I$138,0)</f>
        <v>0</v>
      </c>
      <c r="BP27" s="1">
        <f>IF($D27="Winter Canola",WinterCanola!$I$138,0)</f>
        <v>0</v>
      </c>
      <c r="BQ27" s="322">
        <f>IF($D27="Forage Crop-Soil Builder Blend",ForageCrop!$I$138,0)</f>
        <v>0</v>
      </c>
      <c r="BR27" s="1">
        <f>IF($D27="SW Winter Wheat after Spring Legume",H27*SWWinterWheatAfterSpringLegume!$I$138,0)</f>
        <v>0</v>
      </c>
      <c r="BS27" s="1">
        <f>IF($D27="SW Winter Wheat after Forage Crop",H27*SWWinterWheatAfterForageCrop!$I$138,0)</f>
        <v>0</v>
      </c>
      <c r="BT27" s="1">
        <f>IF($D27="DN Spring Wheat after Spring Legume",H27*DNSpringWinterAfterSpringLegume!$I$138,0)</f>
        <v>0</v>
      </c>
      <c r="BU27" s="1">
        <f>IF($D27="DN Spring Wheat after Forage Crop",H27*DNSpringWheatAfterForageCrop!$I$138,0)</f>
        <v>0</v>
      </c>
      <c r="BV27" s="1">
        <f>IF($D27="DN Spring Wheat after Winter Crop",H27*DNSpringWheatAfterWinterCrop!$I$138,0)</f>
        <v>0</v>
      </c>
      <c r="BW27" s="1">
        <f>IF($D27="Chickpea after Forage Crop",H27*ChickpeaAfterForageCrop!$I$138,0)</f>
        <v>0</v>
      </c>
      <c r="BX27" s="1">
        <f>IF($D27="Chickpea after Cereal",H27*ChickpeaAfterCereal!$I$138,0)</f>
        <v>0</v>
      </c>
      <c r="BY27" s="1">
        <f>IF($D27="Spring Pea after Cereal",H27*SpringPeaAfterCereal!$I$138,0)</f>
        <v>0</v>
      </c>
      <c r="BZ27" s="1">
        <f>IF($D27="Forage Crop-St. John Area",H27*'ForageCrop-StJohn'!$I$138,0)</f>
        <v>0</v>
      </c>
      <c r="CA27" s="1">
        <f>IF($D27="Forage Crop-Genesee Area",H27*'ForageCrop-Genesee'!$I$138,0)</f>
        <v>0</v>
      </c>
      <c r="CB27" s="1">
        <f>IF($D27="Livestock Grazing",H27*LivestockGrazing!$I$138,0)</f>
        <v>0</v>
      </c>
      <c r="CC27" s="1">
        <f>IF($D27="SW Winter Wheat after Cereal",H27*SWWinterWheatafterCereal!$I$138,0)</f>
        <v>0</v>
      </c>
      <c r="CD27" s="1">
        <f>IF($D27="SW Winter Wheat after Fallow",H27*SWWinterWheatAfterFallow!$I$138,0)</f>
        <v>0</v>
      </c>
      <c r="CE27" s="1">
        <f>IF($D27="Chem-Fallow",H27*'Chem-Fallow'!$I$138,0)</f>
        <v>0</v>
      </c>
      <c r="CF27" s="1">
        <f>IF($D27="Flex-Fallow",H27*'Flex-Fallow'!$I$138,0)</f>
        <v>0</v>
      </c>
      <c r="CG27" s="1">
        <f>IF($D27="Spring Barley",H27*SpringBarley!$I$138,0)</f>
        <v>0</v>
      </c>
      <c r="CH27" s="1">
        <f>IF($D27="Roundup Ready Spring Canola",H27*'SpringCanola_R-Ready'!$I$138,0)</f>
        <v>0</v>
      </c>
      <c r="CI27" s="1">
        <f>IF($D27="Spring Canola",H27*SpringCanola!$I$138,0)</f>
        <v>0</v>
      </c>
      <c r="CJ27" s="1">
        <f>IF($D27="Spring Lentils",H27*SpringLentils!$I$138,0)</f>
        <v>0</v>
      </c>
      <c r="CK27" s="1">
        <f>IF($D27="SW Spring Wheat",H27*SWSpringWheat!$I$138,0)</f>
        <v>0</v>
      </c>
      <c r="CL27" s="1">
        <f>IF($D27="HR Winter Wheat",H27*HRWinterWheat!$I$138,0)</f>
        <v>0</v>
      </c>
      <c r="CM27" s="1">
        <f>IF($D27="Winter Pea",H27*WinterPea!$I$138,0)</f>
        <v>0</v>
      </c>
      <c r="CN27" s="1">
        <f>IF($D27="Winter Canola",H27*WinterCanola!$I$138,0)</f>
        <v>0</v>
      </c>
      <c r="CO27" s="322">
        <f>IF($D27="Forage Crop-Soil Builder Blend",H27*ForageCrop!$I$138,0)</f>
        <v>0</v>
      </c>
      <c r="CP27" s="1">
        <f>IF($D27="SW Winter Wheat after Spring Legume",H27*'Prices_Yields&amp;SeedInputs'!J$5,0)</f>
        <v>0</v>
      </c>
      <c r="CQ27" s="1">
        <f>IF($D27="SW Winter Wheat after Forage Crop",H27*'Prices_Yields&amp;SeedInputs'!J$6,0)</f>
        <v>0</v>
      </c>
      <c r="CR27" s="1">
        <f>IF($D27="DN Spring Wheat after Spring Legume",H27*'Prices_Yields&amp;SeedInputs'!J$7,0)</f>
        <v>0</v>
      </c>
      <c r="CS27" s="1">
        <f>IF($D27="DN Spring Wheat after Forage Crop",H27*'Prices_Yields&amp;SeedInputs'!J$8,0)</f>
        <v>0</v>
      </c>
      <c r="CT27" s="1">
        <f>IF($D27="DN Spring Wheat after Winter Crop",H27*'Prices_Yields&amp;SeedInputs'!J$9,0)</f>
        <v>0</v>
      </c>
      <c r="CU27" s="1">
        <f>IF($D27="Chickpea after Forage Crop",H27*'Prices_Yields&amp;SeedInputs'!J$10,0)</f>
        <v>0</v>
      </c>
      <c r="CV27" s="1">
        <f>IF($D27="Chickpea after Cereal",H27*'Prices_Yields&amp;SeedInputs'!J$11,0)</f>
        <v>0</v>
      </c>
      <c r="CW27" s="1">
        <f>IF($D27="Spring Pea after Cereal",H27*'Prices_Yields&amp;SeedInputs'!J$12,0)</f>
        <v>0</v>
      </c>
      <c r="CX27" s="1">
        <f>IF($D27="Forage Crop-St. John Area",H27*'Prices_Yields&amp;SeedInputs'!J$13,0)</f>
        <v>0</v>
      </c>
      <c r="CY27" s="1">
        <f>IF($D27="Forage Crop-Genesee Area",H27*'Prices_Yields&amp;SeedInputs'!J$14,0)</f>
        <v>0</v>
      </c>
      <c r="CZ27" s="1">
        <f>IF($D27="Livestock Grazing",H27*'Prices_Yields&amp;SeedInputs'!J$15,0)</f>
        <v>0</v>
      </c>
      <c r="DA27" s="1">
        <f>IF($D27="SW Winter Wheat after Cereal",H27*'Prices_Yields&amp;SeedInputs'!J$16,0)</f>
        <v>0</v>
      </c>
      <c r="DB27" s="1">
        <f>IF($D27="SW Winter Wheat after Fallow",H27*'Prices_Yields&amp;SeedInputs'!J$17,0)</f>
        <v>0</v>
      </c>
      <c r="DC27" s="1">
        <f>IF($D27="Chem-Fallow",H27*'Prices_Yields&amp;SeedInputs'!J$18,0)</f>
        <v>0</v>
      </c>
      <c r="DD27" s="1">
        <f>IF($D27="Flex-Fallow",H27*'Prices_Yields&amp;SeedInputs'!J$19,0)</f>
        <v>0</v>
      </c>
      <c r="DE27" s="1">
        <f>IF($D27="Spring Barley",H27*'Prices_Yields&amp;SeedInputs'!J$20,0)</f>
        <v>0</v>
      </c>
      <c r="DF27" s="1">
        <f>IF($D27="Roundup Ready Spring Canola",H27*'Prices_Yields&amp;SeedInputs'!J$21,0)</f>
        <v>0</v>
      </c>
      <c r="DG27" s="1">
        <f>IF($D27="Spring Canola",H27*'Prices_Yields&amp;SeedInputs'!J$22,0)</f>
        <v>0</v>
      </c>
      <c r="DH27" s="1">
        <f>IF($D27="Spring Lentils",H27*'Prices_Yields&amp;SeedInputs'!J$23,0)</f>
        <v>0</v>
      </c>
      <c r="DI27" s="1">
        <f>IF($D27="SW Spring Wheat",H27*'Prices_Yields&amp;SeedInputs'!J$24,0)</f>
        <v>0</v>
      </c>
      <c r="DJ27" s="1">
        <f>IF($D27="HR Winter Wheat",H27*'Prices_Yields&amp;SeedInputs'!J$25,0)</f>
        <v>0</v>
      </c>
      <c r="DK27" s="1">
        <f>IF($D27="Winter Pea",H27*'Prices_Yields&amp;SeedInputs'!J$26,0)</f>
        <v>0</v>
      </c>
      <c r="DL27" s="1">
        <f>IF($D27="Winter Canola",H27*'Prices_Yields&amp;SeedInputs'!J$27,0)</f>
        <v>0</v>
      </c>
      <c r="DM27" s="322">
        <f>IF($D27="Forage Crop-Soil Builder Blend",H27*'Prices_Yields&amp;SeedInputs'!J$28,0)</f>
        <v>0</v>
      </c>
      <c r="DN27" s="1">
        <f>IF($D27="SW Winter Wheat after Spring Legume",$H27*SWWinterWheatAfterSpringLegume!$I$135,0)</f>
        <v>0</v>
      </c>
      <c r="DO27" s="1">
        <f>IF($D27="SW Winter Wheat after Forage Crop",$H27*SWWinterWheatAfterForageCrop!$I$135,0)</f>
        <v>0</v>
      </c>
      <c r="DP27" s="1">
        <f>IF($D27="DN Spring Wheat after Spring Legume",$H27*DNSpringWinterAfterSpringLegume!$I$135,0)</f>
        <v>0</v>
      </c>
      <c r="DQ27" s="1">
        <f>IF($D27="DN Spring Wheat after Forage Crop",$H27*DNSpringWheatAfterForageCrop!$I$135,0)</f>
        <v>0</v>
      </c>
      <c r="DR27" s="1">
        <f>IF($D27="DN Spring Wheat after Winter Crop",$H27*DNSpringWheatAfterWinterCrop!$I$135,0)</f>
        <v>0</v>
      </c>
      <c r="DS27" s="1">
        <f>IF($D27="Chickpea after Forage Crop",$H27*ChickpeaAfterForageCrop!$I$135,0)</f>
        <v>0</v>
      </c>
      <c r="DT27" s="1">
        <f>IF($D27="Chickpea after Cereal",$H27*ChickpeaAfterCereal!$I$135,0)</f>
        <v>0</v>
      </c>
      <c r="DU27" s="1">
        <f>IF($D27="Spring Pea after Cereal",$H27*SpringPeaAfterCereal!$I$135,0)</f>
        <v>0</v>
      </c>
      <c r="DV27" s="1">
        <f>IF($D27="Forage Crop-St. John Area",$H27*'ForageCrop-StJohn'!$I$135,0)</f>
        <v>0</v>
      </c>
      <c r="DW27" s="1">
        <f>IF($D27="Forage Crop-Genesee Area",$H27*'ForageCrop-Genesee'!$I$135,0)</f>
        <v>0</v>
      </c>
      <c r="DX27" s="1">
        <f>IF($D27="Livestock Grazing",$H27*LivestockGrazing!$I$135,0)</f>
        <v>0</v>
      </c>
      <c r="DY27" s="1">
        <f>IF($D27="SW Winter Wheat after Cereal",$H27*SWWinterWheatafterCereal!$I$135,0)</f>
        <v>0</v>
      </c>
      <c r="DZ27" s="1">
        <f>IF($D27="SW Winter Wheat after Fallow",$H27*SWWinterWheatAfterFallow!$I$135,0)</f>
        <v>0</v>
      </c>
      <c r="EA27" s="1">
        <f>IF($D27="Chem-Fallow",$H27*'Chem-Fallow'!$I$135,0)</f>
        <v>0</v>
      </c>
      <c r="EB27" s="1">
        <f>IF($D27="Flex-Fallow",$H27*'Flex-Fallow'!$I$135,0)</f>
        <v>0</v>
      </c>
      <c r="EC27" s="1">
        <f>IF($D27="Spring Barley",$H27*SpringBarley!$I$135,0)</f>
        <v>0</v>
      </c>
      <c r="ED27" s="1">
        <f>IF($D27="Roundup Ready Spring Canola",$H27*'SpringCanola_R-Ready'!$I$135,0)</f>
        <v>0</v>
      </c>
      <c r="EE27" s="1">
        <f>IF($D27="Spring Canola",$H27*SpringCanola!$I$135,0)</f>
        <v>0</v>
      </c>
      <c r="EF27" s="1">
        <f>IF($D27="Spring Lentils",$H27*SpringLentils!$I$135,0)</f>
        <v>0</v>
      </c>
      <c r="EG27" s="1">
        <f>IF($D27="SW Spring Wheat",$H27*SWSpringWheat!$I$135,0)</f>
        <v>0</v>
      </c>
      <c r="EH27" s="1">
        <f>IF($D27="HR Winter Wheat",$H27*HRWinterWheat!$I$135,0)</f>
        <v>0</v>
      </c>
      <c r="EI27" s="1">
        <f>IF($D27="Winter Pea",$H27*WinterPea!$I$135,0)</f>
        <v>0</v>
      </c>
      <c r="EJ27" s="1">
        <f>IF($D27="Winter Canola",$H27*WinterCanola!$I$135,0)</f>
        <v>0</v>
      </c>
      <c r="EK27" s="322">
        <f>IF($D27="Forage Crop-Soil Builder Blend",$H27*ForageCrop!$I$135,0)</f>
        <v>0</v>
      </c>
      <c r="EL27" s="1">
        <f>IF($D27="SW Winter Wheat after Spring Legume",$H27*SWWinterWheatAfterSpringLegume!$J$116,0)</f>
        <v>0</v>
      </c>
      <c r="EM27" s="1">
        <f>IF($D27="SW Winter Wheat after Forage Crop",$H27*SWWinterWheatAfterForageCrop!$J$116,0)</f>
        <v>0</v>
      </c>
      <c r="EN27" s="1">
        <f>IF($D27="DN Spring Wheat after Spring Legume",$H27*DNSpringWinterAfterSpringLegume!$J$116,0)</f>
        <v>0</v>
      </c>
      <c r="EO27" s="1">
        <f>IF($D27="DN Spring Wheat after Forage Crop",$H27*DNSpringWheatAfterForageCrop!$J$116,0)</f>
        <v>0</v>
      </c>
      <c r="EP27" s="1">
        <f>IF($D27="DN Spring Wheat after Winter Crop",$H27*DNSpringWheatAfterWinterCrop!$J$116,0)</f>
        <v>0</v>
      </c>
      <c r="EQ27" s="1">
        <f>IF($D27="Chickpea after Forage Crop",$H27*ChickpeaAfterForageCrop!$J$116,0)</f>
        <v>0</v>
      </c>
      <c r="ER27" s="1">
        <f>IF($D27="Chickpea after Cereal",$H27*ChickpeaAfterCereal!$J$116,0)</f>
        <v>0</v>
      </c>
      <c r="ES27" s="1">
        <f>IF($D27="Spring Pea after Cereal",$H27*SpringPeaAfterCereal!$J$116,0)</f>
        <v>0</v>
      </c>
      <c r="ET27" s="1">
        <f>IF($D27="Forage Crop-St. John Area",$H27*'ForageCrop-StJohn'!$J$116,0)</f>
        <v>0</v>
      </c>
      <c r="EU27" s="1">
        <f>IF($D27="Forage Crop-Genesee Area",$H27*'ForageCrop-Genesee'!$J$116,0)</f>
        <v>0</v>
      </c>
      <c r="EV27" s="1">
        <f>IF($D27="Livestock Grazing",$H27*LivestockGrazing!$J$116,0)</f>
        <v>0</v>
      </c>
      <c r="EW27" s="1">
        <f>IF($D27="SW Winter Wheat after Cereal",$H27*SWWinterWheatafterCereal!$J$116,0)</f>
        <v>0</v>
      </c>
      <c r="EX27" s="1">
        <f>IF($D27="SW Winter Wheat after Fallow",$H27*SWWinterWheatAfterFallow!$J$116,0)</f>
        <v>0</v>
      </c>
      <c r="EY27" s="1">
        <f>IF($D27="Chem-Fallow",$H27*'Chem-Fallow'!$J$116,0)</f>
        <v>0</v>
      </c>
      <c r="EZ27" s="1">
        <f>IF($D27="Flex-Fallow",$H27*'Flex-Fallow'!$J$116,0)</f>
        <v>0</v>
      </c>
      <c r="FA27" s="1">
        <f>IF($D27="Spring Barley",$H27*SpringBarley!$J$116,0)</f>
        <v>0</v>
      </c>
      <c r="FB27" s="1">
        <f>IF($D27="Roundup Ready Spring Canola",$H27*'SpringCanola_R-Ready'!$J$116,0)</f>
        <v>0</v>
      </c>
      <c r="FC27" s="1">
        <f>IF($D27="Spring Canola",$H27*SpringCanola!$J$116,0)</f>
        <v>0</v>
      </c>
      <c r="FD27" s="1">
        <f>IF($D27="Spring Lentils",$H27*SpringLentils!$J$116,0)</f>
        <v>0</v>
      </c>
      <c r="FE27" s="1">
        <f>IF($D27="SW Spring Wheat",$H27*SWSpringWheat!$J$116,0)</f>
        <v>0</v>
      </c>
      <c r="FF27" s="1">
        <f>IF($D27="HR Winter Wheat",$H27*HRWinterWheat!$J$116,0)</f>
        <v>0</v>
      </c>
      <c r="FG27" s="1">
        <f>IF($D27="Winter Pea",$H27*WinterPea!$J$116,0)</f>
        <v>0</v>
      </c>
      <c r="FH27" s="1">
        <f>IF($D27="Winter Canola",$H27*WinterCanola!$J$116,0)</f>
        <v>0</v>
      </c>
      <c r="FI27" s="322">
        <f>IF($D27="Forage Crop-Soil Builder Blend",$H27*ForageCrop!$J$116,0)</f>
        <v>0</v>
      </c>
      <c r="FJ27" s="1">
        <f>IF($D27="SW Winter Wheat after Spring Legume",$H27*SWWinterWheatAfterSpringLegume!$J$117,0)</f>
        <v>0</v>
      </c>
      <c r="FK27" s="1">
        <f>IF($D27="SW Winter Wheat after Forage Crop",$H27*SWWinterWheatAfterForageCrop!$J$117,0)</f>
        <v>0</v>
      </c>
      <c r="FL27" s="1">
        <f>IF($D27="DN Spring Wheat after Spring Legume",$H27*DNSpringWinterAfterSpringLegume!$J$117,0)</f>
        <v>0</v>
      </c>
      <c r="FM27" s="1">
        <f>IF($D27="DN Spring Wheat after Forage Crop",$H27*DNSpringWheatAfterForageCrop!$J$117,0)</f>
        <v>0</v>
      </c>
      <c r="FN27" s="1">
        <f>IF($D27="DN Spring Wheat after Winter Crop",$H27*DNSpringWheatAfterWinterCrop!$J$117,0)</f>
        <v>0</v>
      </c>
      <c r="FO27" s="1">
        <f>IF($D27="Chickpea after Forage Crop",$H27*ChickpeaAfterForageCrop!$J$117,0)</f>
        <v>0</v>
      </c>
      <c r="FP27" s="1">
        <f>IF($D27="Chickpea after Cereal",$H27*ChickpeaAfterCereal!$J$117,0)</f>
        <v>0</v>
      </c>
      <c r="FQ27" s="1">
        <f>IF($D27="Spring Pea after Cereal",$H27*SpringPeaAfterCereal!$J$117,0)</f>
        <v>0</v>
      </c>
      <c r="FR27" s="1">
        <f>IF($D27="Forage Crop-St. John Area",$H27*'ForageCrop-StJohn'!$J$117,0)</f>
        <v>0</v>
      </c>
      <c r="FS27" s="1">
        <f>IF($D27="Forage Crop-Genesee Area",$H27*'ForageCrop-Genesee'!$J$117,0)</f>
        <v>0</v>
      </c>
      <c r="FT27" s="1">
        <f>IF($D27="Livestock Grazing",$H27*LivestockGrazing!$J$117,0)</f>
        <v>0</v>
      </c>
      <c r="FU27" s="1">
        <f>IF($D27="SW Winter Wheat after Cereal",$H27*SWWinterWheatafterCereal!$J$117,0)</f>
        <v>0</v>
      </c>
      <c r="FV27" s="1">
        <f>IF($D27="SW Winter Wheat after Fallow",$H27*SWWinterWheatAfterFallow!$J$117,0)</f>
        <v>0</v>
      </c>
      <c r="FW27" s="1">
        <f>IF($D27="Chem-Fallow",$H27*'Chem-Fallow'!$J$117,0)</f>
        <v>0</v>
      </c>
      <c r="FX27" s="1">
        <f>IF($D27="Flex-Fallow",$H27*'Flex-Fallow'!$J$117,0)</f>
        <v>0</v>
      </c>
      <c r="FY27" s="1">
        <f>IF($D27="Spring Barley",$H27*SpringBarley!$J$117,0)</f>
        <v>0</v>
      </c>
      <c r="FZ27" s="1">
        <f>IF($D27="Roundup Ready Spring Canola",$H27*'SpringCanola_R-Ready'!$J$117,0)</f>
        <v>0</v>
      </c>
      <c r="GA27" s="1">
        <f>IF($D27="Spring Canola",$H27*SpringCanola!$J$117,0)</f>
        <v>0</v>
      </c>
      <c r="GB27" s="1">
        <f>IF($D27="Spring Lentils",$H27*SpringLentils!$J$117,0)</f>
        <v>0</v>
      </c>
      <c r="GC27" s="1">
        <f>IF($D27="SW Spring Wheat",$H27*SWSpringWheat!$J$117,0)</f>
        <v>0</v>
      </c>
      <c r="GD27" s="1">
        <f>IF($D27="HR Winter Wheat",$H27*HRWinterWheat!$J$117,0)</f>
        <v>0</v>
      </c>
      <c r="GE27" s="1">
        <f>IF($D27="Winter Pea",$H27*WinterPea!$J$117,0)</f>
        <v>0</v>
      </c>
      <c r="GF27" s="1">
        <f>IF($D27="Winter Canola",$H27*WinterCanola!$J$117,0)</f>
        <v>0</v>
      </c>
      <c r="GG27" s="322">
        <f>IF($D27="Forage Crop-Soil Builder Blend",$H27*ForageCrop!$J$117,0)</f>
        <v>0</v>
      </c>
      <c r="GH27" s="1">
        <f>IF($D27="SW Winter Wheat after Spring Legume",$H27*SWWinterWheatAfterSpringLegume!$M$118,0)</f>
        <v>0</v>
      </c>
      <c r="GI27" s="1">
        <f>IF($D27="SW Winter Wheat after Forage Crop",$H27*SWWinterWheatAfterForageCrop!$M$118,0)</f>
        <v>0</v>
      </c>
      <c r="GJ27" s="1">
        <f>IF($D27="DN Spring Wheat after Spring Legume",$H27*DNSpringWinterAfterSpringLegume!$M$118,0)</f>
        <v>0</v>
      </c>
      <c r="GK27" s="1">
        <f>IF($D27="DN Spring Wheat after Forage Crop",$H27*DNSpringWheatAfterForageCrop!$M$118,0)</f>
        <v>0</v>
      </c>
      <c r="GL27" s="1">
        <f>IF($D27="DN Spring Wheat after Winter Crop",$H27*DNSpringWheatAfterWinterCrop!$M$118,0)</f>
        <v>0</v>
      </c>
      <c r="GM27" s="1">
        <f>IF($D27="Chickpea after Forage Crop",$H27*ChickpeaAfterForageCrop!$M$118,0)</f>
        <v>0</v>
      </c>
      <c r="GN27" s="1">
        <f>IF($D27="Chickpea after Cereal",$H27*ChickpeaAfterCereal!$M$118,0)</f>
        <v>0</v>
      </c>
      <c r="GO27" s="1">
        <f>IF($D27="Spring Pea after Cereal",$H27*SpringPeaAfterCereal!$M$118,0)</f>
        <v>0</v>
      </c>
      <c r="GP27" s="1">
        <f>IF($D27="Forage Crop-St. John Area",$H27*'ForageCrop-StJohn'!$M$118,0)</f>
        <v>0</v>
      </c>
      <c r="GQ27" s="1">
        <f>IF($D27="Forage Crop-Genesee Area",$H27*'ForageCrop-Genesee'!$M$118,0)</f>
        <v>0</v>
      </c>
      <c r="GR27" s="1">
        <f>IF($D27="Livestock Grazing",$H27*LivestockGrazing!$M$118,0)</f>
        <v>0</v>
      </c>
      <c r="GS27" s="1">
        <f>IF($D27="SW Winter Wheat after Cereal",$H27*SWWinterWheatafterCereal!$M$118,0)</f>
        <v>0</v>
      </c>
      <c r="GT27" s="1">
        <f>IF($D27="SW Winter Wheat after Fallow",$H27*SWWinterWheatAfterFallow!$M$118,0)</f>
        <v>0</v>
      </c>
      <c r="GU27" s="1">
        <f>IF($D27="Chem-Fallow",$H27*'Chem-Fallow'!$M$118,0)</f>
        <v>0</v>
      </c>
      <c r="GV27" s="1">
        <f>IF($D27="Flex-Fallow",$H27*'Flex-Fallow'!$M$118,0)</f>
        <v>0</v>
      </c>
      <c r="GW27" s="1">
        <f>IF($D27="Spring Barley",$H27*SpringBarley!$M$118,0)</f>
        <v>0</v>
      </c>
      <c r="GX27" s="1">
        <f>IF($D27="Roundup Ready Spring Canola",$H27*'SpringCanola_R-Ready'!$M$118,0)</f>
        <v>0</v>
      </c>
      <c r="GY27" s="1">
        <f>IF($D27="Spring Canola",$H27*SpringCanola!$M$118,0)</f>
        <v>0</v>
      </c>
      <c r="GZ27" s="1">
        <f>IF($D27="Spring Lentils",$H27*SpringLentils!$M$118,0)</f>
        <v>0</v>
      </c>
      <c r="HA27" s="1">
        <f>IF($D27="SW Spring Wheat",$H27*SWSpringWheat!$M$118,0)</f>
        <v>0</v>
      </c>
      <c r="HB27" s="1">
        <f>IF($D27="HR Winter Wheat",$H27*HRWinterWheat!$M$118,0)</f>
        <v>0</v>
      </c>
      <c r="HC27" s="1">
        <f>IF($D27="Winter Pea",$H27*WinterPea!$M$118,0)</f>
        <v>0</v>
      </c>
      <c r="HD27" s="1">
        <f>IF($D27="Winter Canola",$H27*WinterCanola!$M$118,0)</f>
        <v>0</v>
      </c>
      <c r="HE27" s="322">
        <f>IF($D27="Forage Crop-Soil Builder Blend",$H27*ForageCrop!$M$118,0)</f>
        <v>0</v>
      </c>
      <c r="HF27" s="1">
        <f>IF($D27="SW Winter Wheat after Spring Legume",($H27*(SUM(SWWinterWheatAfterSpringLegume!$E$9:$E$16)+SWWinterWheatAfterSpringLegume!$G$16))/2000,0)</f>
        <v>0</v>
      </c>
      <c r="HG27" s="1">
        <f>IF($D27="SW Winter Wheat after Forage Crop",($H27*(SUM(SWWinterWheatAfterForageCrop!$E$9:$E$16)+SWWinterWheatAfterForageCrop!$G$17))/2000,0)</f>
        <v>0</v>
      </c>
      <c r="HH27" s="1">
        <f>IF($D27="DN Spring Wheat after Spring Legume",($H27*(SUM(DNSpringWinterAfterSpringLegume!$E$9:$E$16)+DNSpringWinterAfterSpringLegume!$G$16))/2000,0)</f>
        <v>0</v>
      </c>
      <c r="HI27" s="1">
        <f>IF($D27="DN Spring Wheat after Forage Crop",($H27*(SUM(DNSpringWheatAfterForageCrop!$E$9:$E$16)+DNSpringWheatAfterForageCrop!$G$14))/2000,0)</f>
        <v>0</v>
      </c>
      <c r="HJ27" s="1">
        <f>IF($D27="DN Spring Wheat after Winter Crop",($H27*(SUM(DNSpringWheatAfterWinterCrop!$E$9:$E$16)+DNSpringWheatAfterWinterCrop!$G$16))/2000,0)</f>
        <v>0</v>
      </c>
      <c r="HK27" s="1">
        <f>IF($D27="Chickpea after Forage Crop",($H27*(SUM(ChickpeaAfterForageCrop!$E$9:$E$16)+ChickpeaAfterForageCrop!$G$14))/2000,0)</f>
        <v>0</v>
      </c>
      <c r="HL27" s="1">
        <f>IF($D27="Chickpea after Cereal",($H27*(SUM(ChickpeaAfterCereal!$E$9:$E$16)+ChickpeaAfterCereal!$G$14))/2000,0)</f>
        <v>0</v>
      </c>
      <c r="HM27" s="1">
        <f>IF($D27="Spring Pea after Cereal",($H27*(SUM(SpringPeaAfterCereal!$E$9:$E$16)+SpringPeaAfterCereal!$G$14))/2000,0)</f>
        <v>0</v>
      </c>
      <c r="HN27" s="1">
        <f>IF($D27="Forage Crop-St. John Area",($H27*(SUM('ForageCrop-StJohn'!$E$9:$E$16)+'ForageCrop-StJohn'!$G$14))/2000,0)</f>
        <v>0</v>
      </c>
      <c r="HO27" s="1">
        <f>IF($D27="Forage Crop-Genesee Area",($H27*(SUM('ForageCrop-Genesee'!$E$9:$E$16)+'ForageCrop-Genesee'!$G$14))/2000,0)</f>
        <v>0</v>
      </c>
      <c r="HP27" s="1">
        <f>IF($D27="Livestock Grazing",($H27*(SUM(LivestockGrazing!$E$9:$E$16)+LivestockGrazing!$G$14))/2000,0)</f>
        <v>0</v>
      </c>
      <c r="HQ27" s="1">
        <f>IF($D27="SW Winter Wheat after Cereal",($H27*(SUM(SWWinterWheatafterCereal!$E$9:$E$16)+SWWinterWheatafterCereal!$G$16))/2000,0)</f>
        <v>0</v>
      </c>
      <c r="HR27" s="1">
        <f>IF($D27="SW Winter Wheat after Fallow",($H27*(SUM(SWWinterWheatAfterFallow!$E$9:$E$16)+SWWinterWheatAfterFallow!$G$14))/2000,0)</f>
        <v>0</v>
      </c>
      <c r="HS27" s="1">
        <f>IF($D27="Chem-Fallow",($H27*(SUM('Chem-Fallow'!$E$9:$E$16)+'Chem-Fallow'!$G$16))/2000,0)</f>
        <v>0</v>
      </c>
      <c r="HT27" s="1">
        <f>IF($D27="Flex-Fallow",($H27*(SUM('Flex-Fallow'!$E$9:$E$16)+'Flex-Fallow'!$G$16))/2000,0)</f>
        <v>0</v>
      </c>
      <c r="HU27" s="1">
        <f>IF($D27="Spring Barley",($H27*(SUM(SpringBarley!$E$9:$E$16)+SpringBarley!$G$16))/2000,0)</f>
        <v>0</v>
      </c>
      <c r="HV27" s="1">
        <f>IF($D27="Roundup Ready Spring Canola",($H27*(SUM('SpringCanola_R-Ready'!$E$9:$E$16)+'SpringCanola_R-Ready'!$G$14))/2000,0)</f>
        <v>0</v>
      </c>
      <c r="HW27" s="1">
        <f>IF($D27="Spring Canola",($H27*(SUM(SpringCanola!$E$9:$E$16)+SpringCanola!$G$14))/2000,0)</f>
        <v>0</v>
      </c>
      <c r="HX27" s="1">
        <f>IF($D27="Spriing Lentils",($H27*(SUM(SpringLentils!$E$9:$E$16)+SpringLentils!$G$14))/2000,0)</f>
        <v>0</v>
      </c>
      <c r="HY27" s="1">
        <f>IF($D27="SW Spring Wheat",($H27*(SUM(SWSpringWheat!$E$9:$E$16)+SWSpringWheat!$G$18))/2000,0)</f>
        <v>0</v>
      </c>
      <c r="HZ27" s="1">
        <f>IF($D27="HR Winter Wheat",($H27*(SUM(HRWinterWheat!$E$9:$E$16)+HRWinterWheat!$G$16))/2000,0)</f>
        <v>0</v>
      </c>
      <c r="IA27" s="1">
        <f>IF($D27="Winter Pea",($H27*(SUM(WinterPea!$E$9:$E$16)+WinterPea!$G$14))/2000,0)</f>
        <v>0</v>
      </c>
      <c r="IB27" s="1">
        <f>IF($D27="Winter Canola",($H27*(SUM(WinterCanola!$E$9:$E$16)+WinterCanola!$G$14))/2000,0)</f>
        <v>0</v>
      </c>
      <c r="IC27" s="322">
        <f>IF($D27="Forage Crop-Soil Builder Blend",($H27*(SUM(ForageCrop!$E$9:$E$16)+ForageCrop!$G$14))/2000,0)</f>
        <v>0</v>
      </c>
      <c r="ID27" s="1">
        <f>IF($D27="SW Winter Wheat after Spring Legume",$H27*SWWinterWheatAfterSpringLegume!$G$62,0)</f>
        <v>0</v>
      </c>
      <c r="IE27" s="1">
        <f>IF($D27="SW Winter Wheat after Forage Crop",$H27*SWWinterWheatAfterForageCrop!$G$62,0)</f>
        <v>0</v>
      </c>
      <c r="IF27" s="1">
        <f>IF($D27="DN Spring Wheat after Spring Legume",$H27*DNSpringWinterAfterSpringLegume!$G$62,0)</f>
        <v>0</v>
      </c>
      <c r="IG27" s="1">
        <f>IF($D27="DN Spring Wheat after Forage Crop",$H27*DNSpringWheatAfterForageCrop!$G$62,0)</f>
        <v>0</v>
      </c>
      <c r="IH27" s="1">
        <f>IF($D27="DN Spring Wheat after Winter Crop",$H27*DNSpringWheatAfterWinterCrop!$G$62,0)</f>
        <v>0</v>
      </c>
      <c r="II27" s="1">
        <f>IF($D27="Chickpea after Forage Crop",$H27*ChickpeaAfterForageCrop!$G$62,0)</f>
        <v>0</v>
      </c>
      <c r="IJ27" s="1">
        <f>IF($D27="Chickpea after Cereal",$H27*ChickpeaAfterCereal!$G$62,0)</f>
        <v>0</v>
      </c>
      <c r="IK27" s="1">
        <f>IF($D27="Spring Pea after Cereal",$H27*SpringPeaAfterCereal!$G$62,0)</f>
        <v>0</v>
      </c>
      <c r="IL27" s="1">
        <f>IF($D27="Forage Crop-St. John Area",$H27*'ForageCrop-StJohn'!$G$62,0)</f>
        <v>0</v>
      </c>
      <c r="IM27" s="1">
        <f>IF($D27="Forage Crop-Genesee Area",$H27*'ForageCrop-Genesee'!$G$62,0)</f>
        <v>0</v>
      </c>
      <c r="IN27" s="1">
        <f>IF($D27="Livestock Grazing",$H27*LivestockGrazing!$G$62,0)</f>
        <v>0</v>
      </c>
      <c r="IO27" s="1">
        <f>IF($D27="SW Winter Wheat after Cereal",$H27*SWWinterWheatafterCereal!$G$62,0)</f>
        <v>0</v>
      </c>
      <c r="IP27" s="1">
        <f>IF($D27="SW Winter Wheat after Fallow",$H27*SWWinterWheatAfterFallow!$G$62,0)</f>
        <v>0</v>
      </c>
      <c r="IQ27" s="1">
        <f>IF($D27="Chem-Fallow",$H27*'Chem-Fallow'!$G$62,0)</f>
        <v>0</v>
      </c>
      <c r="IR27" s="1">
        <f>IF($D27="Flex-Fallow",$H27*'Flex-Fallow'!$G$62,0)</f>
        <v>0</v>
      </c>
      <c r="IS27" s="1">
        <f>IF($D27="Spring Barley",$H27*SpringBarley!$G$62,0)</f>
        <v>0</v>
      </c>
      <c r="IT27" s="1">
        <f>IF($D27="Roundup Ready Spring Canola",$H27*'SpringCanola_R-Ready'!$G$62,0)</f>
        <v>0</v>
      </c>
      <c r="IU27" s="1">
        <f>IF($D27="Spring Canola",$H27*SpringCanola!$G$62,0)</f>
        <v>0</v>
      </c>
      <c r="IV27" s="1">
        <f>IF($D27="Spriing Lentils",$H27*SpringLentils!$G$62,0)</f>
        <v>0</v>
      </c>
      <c r="IW27" s="1">
        <f>IF($D27="SW Spring Wheat",$H27*SWSpringWheat!$G$62,0)</f>
        <v>0</v>
      </c>
      <c r="IX27" s="1">
        <f>IF($D27="HR Winter Wheat",$H27*HRWinterWheat!$G$62,0)</f>
        <v>0</v>
      </c>
      <c r="IY27" s="1">
        <f>IF($D27="Winter Pea",$H27*WinterPea!$G$62,0)</f>
        <v>0</v>
      </c>
      <c r="IZ27" s="1">
        <f>IF($D27="Winter Canola",$H27*+WinterCanola!$G$62,0)</f>
        <v>0</v>
      </c>
      <c r="JA27" s="1">
        <f>IF($D27="Forage Crop-Soil Builder Blend",$H27*ForageCrop!$G$62,0)</f>
        <v>0</v>
      </c>
      <c r="JB27" s="1">
        <f>IF($D27="SW Winter Wheat after Spring Legume",$H27*'Prices_Yields&amp;SeedInputs'!G5,0)</f>
        <v>0</v>
      </c>
      <c r="JC27" s="1">
        <f>IF($D27="SW Winter Wheat after Forage Crop",$H27*'Prices_Yields&amp;SeedInputs'!G6,0)</f>
        <v>0</v>
      </c>
      <c r="JD27" s="1">
        <f>IF($D27="DN Spring Wheat after Spring Legume",$H27*'Prices_Yields&amp;SeedInputs'!$G$7,0)</f>
        <v>0</v>
      </c>
      <c r="JE27" s="1">
        <f>IF($D27="DN Spring Wheat after Forage Crop",$H27*'Prices_Yields&amp;SeedInputs'!$G$8,0)</f>
        <v>0</v>
      </c>
      <c r="JF27" s="1">
        <f>IF($D27="DN Spring Wheat after Winter Crop",$H27*'Prices_Yields&amp;SeedInputs'!$G$9,0)</f>
        <v>0</v>
      </c>
      <c r="JG27" s="1">
        <f>IF($D27="Chickpea after Forage Crop",$H27*'Prices_Yields&amp;SeedInputs'!$G$10,0)</f>
        <v>0</v>
      </c>
      <c r="JH27" s="1">
        <f>IF($D27="Chickpea after Cereal",$H27*'Prices_Yields&amp;SeedInputs'!$G$11,0)</f>
        <v>0</v>
      </c>
      <c r="JI27" s="1">
        <f>IF($D27="Spring Pea after Cereal",$H27*'Prices_Yields&amp;SeedInputs'!$G$12,0)</f>
        <v>0</v>
      </c>
      <c r="JJ27" s="1">
        <f>IF($D27="Forage Crop-St. John Area",$H27*'Prices_Yields&amp;SeedInputs'!$G$13,0)</f>
        <v>0</v>
      </c>
      <c r="JK27" s="1">
        <f>IF($D27="Forage Crop-Genesee Area",$H27*'Prices_Yields&amp;SeedInputs'!$G$14,0)</f>
        <v>0</v>
      </c>
      <c r="JL27" s="1">
        <f>IF($D27="Livestock Grazing",$H27*'Prices_Yields&amp;SeedInputs'!$G$15,0)</f>
        <v>0</v>
      </c>
      <c r="JM27" s="1">
        <f>IF($D27="SW Winter Wheat after Cereal",$H27*'Prices_Yields&amp;SeedInputs'!$G$16,0)</f>
        <v>0</v>
      </c>
      <c r="JN27" s="1">
        <f>IF($D27="SW Winter Wheat after Fallow",$H27*'Prices_Yields&amp;SeedInputs'!$G$17,0)</f>
        <v>0</v>
      </c>
      <c r="JO27" s="1">
        <f>IF($D27="Chem-Fallow",$H27*'Prices_Yields&amp;SeedInputs'!$G$18,0)</f>
        <v>0</v>
      </c>
      <c r="JP27" s="1">
        <f>IF($D27="Flex-Fallow",$H27*'Prices_Yields&amp;SeedInputs'!$G$19,0)</f>
        <v>0</v>
      </c>
      <c r="JQ27" s="1">
        <f>IF($D27="Spring Barley",$H27*'Prices_Yields&amp;SeedInputs'!$G$20,0)</f>
        <v>0</v>
      </c>
      <c r="JR27" s="1">
        <f>IF($D27="Roundup Ready Spring Canola",$H27*'Prices_Yields&amp;SeedInputs'!$G$21,0)</f>
        <v>0</v>
      </c>
      <c r="JS27" s="1">
        <f>IF($D27="Spring Canola",$H27*'Prices_Yields&amp;SeedInputs'!$G$22,0)</f>
        <v>0</v>
      </c>
      <c r="JT27" s="1">
        <f>IF($D27="Spriing Lentils",$H27*'Prices_Yields&amp;SeedInputs'!$G$23,0)</f>
        <v>0</v>
      </c>
      <c r="JU27" s="1">
        <f>IF($D27="SW Spring Wheat",$H27*'Prices_Yields&amp;SeedInputs'!$G$24,0)</f>
        <v>0</v>
      </c>
      <c r="JV27" s="1">
        <f>IF($D27="HR Winter Wheat",$H27*'Prices_Yields&amp;SeedInputs'!$G$25,0)</f>
        <v>0</v>
      </c>
      <c r="JW27" s="1">
        <f>IF($D27="Winter Pea",$H27*'Prices_Yields&amp;SeedInputs'!$G$26,0)</f>
        <v>0</v>
      </c>
      <c r="JX27" s="1">
        <f>IF($D27="Winter Canola",$H27*'Prices_Yields&amp;SeedInputs'!$G$27,0)</f>
        <v>0</v>
      </c>
      <c r="JY27" s="1">
        <f>IF($D27="Forage Crop-Soil Builder Blend",$H27*'Prices_Yields&amp;SeedInputs'!$G$28,0)</f>
        <v>0</v>
      </c>
    </row>
    <row r="28" spans="1:285" ht="20" customHeight="1">
      <c r="A28" s="3"/>
      <c r="B28" s="571" t="s">
        <v>8</v>
      </c>
      <c r="C28" s="572"/>
      <c r="D28" s="572"/>
      <c r="E28" s="573">
        <f>IF(F28&gt;1,"ERROR",SUM(F23:F27))</f>
        <v>1</v>
      </c>
      <c r="F28" s="574">
        <f>IF(SUM(F23:F27)&gt;1,"ERROR",SUM(F23:F27))</f>
        <v>1</v>
      </c>
      <c r="G28" s="575">
        <f>IF(SUM(G23:G27)&gt;$I$2,"ERROR",SUM(G23:G27))</f>
        <v>2500</v>
      </c>
      <c r="H28" s="576" t="s">
        <v>8</v>
      </c>
      <c r="I28" s="577"/>
      <c r="J28" s="145"/>
      <c r="K28" s="145"/>
      <c r="L28" s="145"/>
      <c r="M28" s="145"/>
      <c r="N28" s="194"/>
      <c r="O28" s="194"/>
      <c r="P28" s="194"/>
      <c r="Q28" s="194"/>
      <c r="R28" s="145"/>
      <c r="S28" s="145"/>
      <c r="T28" s="145"/>
    </row>
    <row r="29" spans="1:285" s="3" customFormat="1" ht="20" hidden="1" customHeight="1">
      <c r="B29" s="645" t="s">
        <v>8</v>
      </c>
      <c r="C29" s="646"/>
      <c r="D29" s="646"/>
      <c r="I29" s="145"/>
      <c r="J29" s="145"/>
      <c r="K29" s="145"/>
      <c r="L29" s="145"/>
      <c r="M29" s="145"/>
      <c r="N29" s="206" t="s">
        <v>129</v>
      </c>
      <c r="O29" s="207">
        <v>19025.161209340673</v>
      </c>
      <c r="P29" s="207">
        <f>SUM('Farm and Rotation Setup'!BR23:CO27)</f>
        <v>844932.40872073709</v>
      </c>
      <c r="Q29" s="208">
        <f t="shared" ref="Q29:Q36" si="2">IF(P29=0,"",((P29-O29)/O29))</f>
        <v>43.411314018506481</v>
      </c>
      <c r="R29" s="145"/>
      <c r="S29" s="145"/>
      <c r="T29" s="145"/>
    </row>
    <row r="30" spans="1:285" s="3" customFormat="1" ht="20" hidden="1" customHeight="1">
      <c r="C30" s="365"/>
      <c r="D30" s="365"/>
      <c r="E30" s="144"/>
      <c r="F30" s="144"/>
      <c r="G30" s="144"/>
      <c r="N30" s="198" t="s">
        <v>128</v>
      </c>
      <c r="O30" s="199">
        <v>112500</v>
      </c>
      <c r="P30" s="199">
        <f>SUM('Farm and Rotation Setup'!CP23:DM27)</f>
        <v>235125</v>
      </c>
      <c r="Q30" s="197">
        <f t="shared" si="2"/>
        <v>1.0900000000000001</v>
      </c>
    </row>
    <row r="31" spans="1:285" s="3" customFormat="1" ht="20" hidden="1" customHeight="1">
      <c r="C31" s="365"/>
      <c r="D31" s="365"/>
      <c r="E31" s="144"/>
      <c r="F31" s="144"/>
      <c r="G31" s="144"/>
      <c r="N31" s="5" t="s">
        <v>127</v>
      </c>
      <c r="O31" s="200">
        <v>103.90625</v>
      </c>
      <c r="P31" s="200">
        <f>SUM('Farm and Rotation Setup'!HF23:IC27)</f>
        <v>79.842480468749997</v>
      </c>
      <c r="Q31" s="197">
        <f t="shared" si="2"/>
        <v>-0.23159116541353386</v>
      </c>
    </row>
    <row r="32" spans="1:285" s="3" customFormat="1" ht="20" hidden="1">
      <c r="E32" s="144"/>
      <c r="F32" s="144"/>
      <c r="G32" s="144"/>
      <c r="N32" s="5" t="s">
        <v>130</v>
      </c>
      <c r="O32" s="200">
        <v>2356.73828125</v>
      </c>
      <c r="P32" s="200">
        <f>SUM('Farm and Rotation Setup'!ID23:JA27)</f>
        <v>1179.6875</v>
      </c>
      <c r="Q32" s="197">
        <f t="shared" si="2"/>
        <v>-0.49944060000828738</v>
      </c>
    </row>
    <row r="33" spans="2:19" s="3" customFormat="1" ht="20" hidden="1">
      <c r="E33" s="619" t="s">
        <v>252</v>
      </c>
      <c r="F33" s="619"/>
      <c r="G33" s="619"/>
      <c r="H33" s="619"/>
      <c r="I33" s="619"/>
      <c r="N33" s="5" t="s">
        <v>113</v>
      </c>
      <c r="O33" s="200">
        <v>1111.7235331632655</v>
      </c>
      <c r="P33" s="200">
        <f>SUM('Farm and Rotation Setup'!EL23:FI27)/MachineAssumptions!$D$30</f>
        <v>1474.0055746138726</v>
      </c>
      <c r="Q33" s="197">
        <f t="shared" si="2"/>
        <v>0.32587422200174204</v>
      </c>
      <c r="S33" s="3" t="s">
        <v>273</v>
      </c>
    </row>
    <row r="34" spans="2:19" s="3" customFormat="1" ht="20" hidden="1">
      <c r="C34" s="139"/>
      <c r="D34" s="139"/>
      <c r="E34" s="229" t="s">
        <v>138</v>
      </c>
      <c r="F34" s="144"/>
      <c r="N34" s="5" t="s">
        <v>100</v>
      </c>
      <c r="O34" s="200">
        <v>40977.450451334371</v>
      </c>
      <c r="P34" s="200">
        <f>SUM('Farm and Rotation Setup'!FJ23:GG27)</f>
        <v>70972.511779428547</v>
      </c>
      <c r="Q34" s="197">
        <f t="shared" si="2"/>
        <v>0.73198944779926955</v>
      </c>
      <c r="S34" s="3" t="s">
        <v>274</v>
      </c>
    </row>
    <row r="35" spans="2:19" s="3" customFormat="1" ht="20" hidden="1">
      <c r="B35" s="202" t="s">
        <v>373</v>
      </c>
      <c r="D35" s="139"/>
      <c r="E35" s="317">
        <f>IF(D5="Soft White Winter Wheat after Fallow",G5,0)</f>
        <v>0</v>
      </c>
      <c r="G35" s="3">
        <f>IF(D6="soft white wheat after fallow", G6,0)</f>
        <v>0</v>
      </c>
      <c r="N35" s="5" t="s">
        <v>102</v>
      </c>
      <c r="O35" s="200">
        <v>16129.898273330997</v>
      </c>
      <c r="P35" s="200">
        <f>SUM('Farm and Rotation Setup'!GH23:HE27)</f>
        <v>30571.634204096503</v>
      </c>
      <c r="Q35" s="197">
        <f t="shared" si="2"/>
        <v>0.89533955428865408</v>
      </c>
      <c r="S35" s="302" t="s">
        <v>8</v>
      </c>
    </row>
    <row r="36" spans="2:19" s="3" customFormat="1" ht="20" hidden="1">
      <c r="B36" s="202" t="s">
        <v>374</v>
      </c>
      <c r="D36" s="139"/>
      <c r="N36" s="5" t="s">
        <v>101</v>
      </c>
      <c r="O36" s="196">
        <v>73474.997618596186</v>
      </c>
      <c r="P36" s="196">
        <f>SUM('Farm and Rotation Setup'!DN23:EK27)</f>
        <v>47503.38647545375</v>
      </c>
      <c r="Q36" s="197">
        <f t="shared" si="2"/>
        <v>-0.35347549486097757</v>
      </c>
      <c r="S36" s="3" t="s">
        <v>275</v>
      </c>
    </row>
    <row r="37" spans="2:19" s="3" customFormat="1" ht="20" hidden="1">
      <c r="B37" s="202" t="s">
        <v>375</v>
      </c>
      <c r="D37" s="139"/>
      <c r="N37" s="313" t="s">
        <v>8</v>
      </c>
      <c r="O37" s="315" t="s">
        <v>8</v>
      </c>
      <c r="Q37" s="197"/>
    </row>
    <row r="38" spans="2:19" s="3" customFormat="1" ht="20" hidden="1">
      <c r="B38" s="203" t="s">
        <v>376</v>
      </c>
      <c r="D38" s="139"/>
      <c r="N38" s="313" t="s">
        <v>8</v>
      </c>
      <c r="O38" s="201"/>
      <c r="P38" s="196"/>
      <c r="Q38" s="197"/>
    </row>
    <row r="39" spans="2:19" s="3" customFormat="1" ht="20" hidden="1">
      <c r="B39" s="202" t="s">
        <v>377</v>
      </c>
      <c r="D39" s="139"/>
      <c r="N39" s="313" t="s">
        <v>8</v>
      </c>
      <c r="O39" s="201"/>
      <c r="P39" s="196"/>
      <c r="Q39" s="197"/>
    </row>
    <row r="40" spans="2:19" s="3" customFormat="1" ht="20" hidden="1">
      <c r="B40" s="203" t="s">
        <v>378</v>
      </c>
      <c r="D40" s="139"/>
      <c r="P40" s="200" t="e">
        <f>SUM('Farm and Rotation Setup'!#REF!)</f>
        <v>#REF!</v>
      </c>
    </row>
    <row r="41" spans="2:19" s="3" customFormat="1" ht="20" hidden="1">
      <c r="B41" s="203" t="s">
        <v>379</v>
      </c>
      <c r="D41" s="139"/>
      <c r="P41" s="200" t="e">
        <f>SUM('Farm and Rotation Setup'!#REF!)</f>
        <v>#REF!</v>
      </c>
    </row>
    <row r="42" spans="2:19" s="3" customFormat="1" ht="20" hidden="1">
      <c r="B42" s="203" t="s">
        <v>380</v>
      </c>
      <c r="D42" s="139"/>
      <c r="P42" s="200" t="e">
        <f>SUM('Farm and Rotation Setup'!#REF!)</f>
        <v>#REF!</v>
      </c>
    </row>
    <row r="43" spans="2:19" s="3" customFormat="1" ht="20" hidden="1">
      <c r="B43" s="203" t="s">
        <v>381</v>
      </c>
      <c r="D43" s="139"/>
      <c r="P43" s="200" t="e">
        <f>SUM('Farm and Rotation Setup'!#REF!)</f>
        <v>#REF!</v>
      </c>
    </row>
    <row r="44" spans="2:19" s="3" customFormat="1" ht="20" hidden="1">
      <c r="B44" s="203" t="s">
        <v>382</v>
      </c>
      <c r="D44" s="139"/>
      <c r="P44" s="200" t="e">
        <f>SUM('Farm and Rotation Setup'!#REF!)</f>
        <v>#REF!</v>
      </c>
    </row>
    <row r="45" spans="2:19" s="3" customFormat="1" ht="20" hidden="1">
      <c r="B45" s="203" t="s">
        <v>383</v>
      </c>
      <c r="D45" s="139"/>
      <c r="P45" s="200" t="e">
        <f>SUM('Farm and Rotation Setup'!#REF!)</f>
        <v>#REF!</v>
      </c>
    </row>
    <row r="46" spans="2:19" s="3" customFormat="1" ht="20" hidden="1">
      <c r="B46" s="202" t="s">
        <v>281</v>
      </c>
      <c r="D46" s="139"/>
      <c r="P46" s="200" t="e">
        <f>SUM('Farm and Rotation Setup'!#REF!)</f>
        <v>#REF!</v>
      </c>
    </row>
    <row r="47" spans="2:19" s="3" customFormat="1" ht="20" hidden="1">
      <c r="B47" s="202" t="s">
        <v>282</v>
      </c>
      <c r="D47" s="139"/>
      <c r="P47" s="200" t="e">
        <f>SUM('Farm and Rotation Setup'!#REF!)</f>
        <v>#REF!</v>
      </c>
    </row>
    <row r="48" spans="2:19" s="3" customFormat="1" ht="20" hidden="1">
      <c r="B48" s="203" t="s">
        <v>180</v>
      </c>
      <c r="D48" s="139"/>
      <c r="P48" s="200" t="e">
        <f>SUM('Farm and Rotation Setup'!#REF!)</f>
        <v>#REF!</v>
      </c>
    </row>
    <row r="49" spans="2:17" s="3" customFormat="1" ht="20" hidden="1">
      <c r="B49" s="203" t="s">
        <v>188</v>
      </c>
      <c r="D49" s="139"/>
      <c r="P49" s="200" t="e">
        <f>SUM('Farm and Rotation Setup'!#REF!)</f>
        <v>#REF!</v>
      </c>
    </row>
    <row r="50" spans="2:17" s="3" customFormat="1" ht="20" hidden="1">
      <c r="B50" s="202" t="s">
        <v>108</v>
      </c>
      <c r="D50" s="139"/>
      <c r="P50" s="200" t="e">
        <f>SUM('Farm and Rotation Setup'!#REF!)</f>
        <v>#REF!</v>
      </c>
    </row>
    <row r="51" spans="2:17" s="3" customFormat="1" ht="20" hidden="1">
      <c r="B51" s="203" t="s">
        <v>191</v>
      </c>
      <c r="D51" s="139"/>
      <c r="P51" s="200" t="e">
        <f>SUM('Farm and Rotation Setup'!#REF!)</f>
        <v>#REF!</v>
      </c>
    </row>
    <row r="52" spans="2:17" s="3" customFormat="1" ht="20" hidden="1">
      <c r="B52" s="203" t="s">
        <v>190</v>
      </c>
      <c r="D52" s="139"/>
      <c r="P52" s="200" t="e">
        <f>SUM('Farm and Rotation Setup'!#REF!)</f>
        <v>#REF!</v>
      </c>
    </row>
    <row r="53" spans="2:17" s="3" customFormat="1" ht="20" hidden="1">
      <c r="B53" s="203" t="s">
        <v>192</v>
      </c>
      <c r="P53" s="200" t="e">
        <f>SUM('Farm and Rotation Setup'!#REF!)</f>
        <v>#REF!</v>
      </c>
    </row>
    <row r="54" spans="2:17" s="3" customFormat="1" ht="20" hidden="1">
      <c r="B54" s="202" t="s">
        <v>283</v>
      </c>
      <c r="P54" s="200" t="e">
        <f>SUM('Farm and Rotation Setup'!#REF!)</f>
        <v>#REF!</v>
      </c>
    </row>
    <row r="55" spans="2:17" s="3" customFormat="1" ht="20" hidden="1">
      <c r="B55" s="202" t="s">
        <v>284</v>
      </c>
      <c r="P55" s="200" t="e">
        <f>SUM('Farm and Rotation Setup'!#REF!)</f>
        <v>#REF!</v>
      </c>
    </row>
    <row r="56" spans="2:17" s="3" customFormat="1" ht="20" hidden="1">
      <c r="B56" s="203" t="s">
        <v>140</v>
      </c>
      <c r="P56" s="200" t="e">
        <f>SUM('Farm and Rotation Setup'!#REF!)</f>
        <v>#REF!</v>
      </c>
    </row>
    <row r="57" spans="2:17" s="3" customFormat="1" ht="20" hidden="1">
      <c r="B57" s="203" t="s">
        <v>189</v>
      </c>
      <c r="P57" s="200" t="e">
        <f>SUM('Farm and Rotation Setup'!#REF!)</f>
        <v>#REF!</v>
      </c>
    </row>
    <row r="58" spans="2:17" s="3" customFormat="1" ht="20" hidden="1">
      <c r="B58" s="203" t="s">
        <v>304</v>
      </c>
      <c r="P58" s="200" t="e">
        <f>SUM('Farm and Rotation Setup'!#REF!)</f>
        <v>#REF!</v>
      </c>
    </row>
    <row r="59" spans="2:17" s="3" customFormat="1" ht="20" hidden="1">
      <c r="N59" s="5" t="s">
        <v>102</v>
      </c>
      <c r="O59" s="201">
        <v>16770.924189060523</v>
      </c>
      <c r="P59" s="200">
        <f>SUM('Farm and Rotation Setup'!GH23:HE27)</f>
        <v>30571.634204096503</v>
      </c>
      <c r="Q59" s="197">
        <f>IF(P59=0,"",((P59-O59)/O59))</f>
        <v>0.8228950211365228</v>
      </c>
    </row>
    <row r="60" spans="2:17" s="3" customFormat="1" ht="20" hidden="1">
      <c r="J60" s="140" t="s">
        <v>186</v>
      </c>
      <c r="N60" s="5" t="s">
        <v>101</v>
      </c>
      <c r="P60" s="200">
        <f>SUM('Farm and Rotation Setup'!DN23:EK27)</f>
        <v>47503.38647545375</v>
      </c>
    </row>
    <row r="61" spans="2:17" s="3" customFormat="1" ht="20" hidden="1" customHeight="1">
      <c r="I61" s="364" t="s">
        <v>184</v>
      </c>
      <c r="J61" s="364"/>
      <c r="N61" s="5" t="s">
        <v>179</v>
      </c>
      <c r="O61" s="31">
        <f>LeasingInfo!O30</f>
        <v>0.76201031527119534</v>
      </c>
    </row>
    <row r="62" spans="2:17" s="3" customFormat="1" ht="20" hidden="1" customHeight="1">
      <c r="I62" s="364" t="s">
        <v>185</v>
      </c>
      <c r="J62" s="364"/>
    </row>
    <row r="63" spans="2:17" s="3" customFormat="1" ht="20">
      <c r="I63" s="140"/>
      <c r="J63" s="140" t="s">
        <v>187</v>
      </c>
    </row>
    <row r="64" spans="2:17"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sheetData>
  <sheetProtection algorithmName="SHA-512" hashValue="ZlYmMZbphMnQZqOnox/UlqxruV74YlyWQw8xgsgR0aGl/9Fya51R5Y+L7bhieDGfhqjNZ7IqRVxgPNlK/tCPdQ==" saltValue="/Khm5GwQFkENXa+Kp/l/zA==" spinCount="100000" sheet="1" objects="1" scenarios="1"/>
  <mergeCells count="292">
    <mergeCell ref="E33:I33"/>
    <mergeCell ref="B5:B9"/>
    <mergeCell ref="B14:B18"/>
    <mergeCell ref="N2:O2"/>
    <mergeCell ref="B2:H2"/>
    <mergeCell ref="B3:B4"/>
    <mergeCell ref="C3:C4"/>
    <mergeCell ref="D3:D4"/>
    <mergeCell ref="E3:E4"/>
    <mergeCell ref="G3:G4"/>
    <mergeCell ref="F3:F4"/>
    <mergeCell ref="H3:H4"/>
    <mergeCell ref="I3:I4"/>
    <mergeCell ref="B12:B13"/>
    <mergeCell ref="C12:C13"/>
    <mergeCell ref="D12:D13"/>
    <mergeCell ref="E12:E13"/>
    <mergeCell ref="G12:G13"/>
    <mergeCell ref="B29:D29"/>
    <mergeCell ref="U3:U4"/>
    <mergeCell ref="AH3:AH4"/>
    <mergeCell ref="AG3:AG4"/>
    <mergeCell ref="V3:V4"/>
    <mergeCell ref="W3:W4"/>
    <mergeCell ref="AT3:AT4"/>
    <mergeCell ref="B23:B27"/>
    <mergeCell ref="I12:I13"/>
    <mergeCell ref="B21:B22"/>
    <mergeCell ref="C21:C22"/>
    <mergeCell ref="D21:D22"/>
    <mergeCell ref="E21:E22"/>
    <mergeCell ref="G21:G22"/>
    <mergeCell ref="I21:I22"/>
    <mergeCell ref="X3:X4"/>
    <mergeCell ref="Y3:Y4"/>
    <mergeCell ref="AS3:AS4"/>
    <mergeCell ref="AD3:AD4"/>
    <mergeCell ref="AE3:AE4"/>
    <mergeCell ref="AF3:AF4"/>
    <mergeCell ref="AB3:AB4"/>
    <mergeCell ref="AN3:AN4"/>
    <mergeCell ref="AM3:AM4"/>
    <mergeCell ref="AL3:AL4"/>
    <mergeCell ref="AR3:AR4"/>
    <mergeCell ref="AI3:AI4"/>
    <mergeCell ref="AJ3:AJ4"/>
    <mergeCell ref="AA3:AA4"/>
    <mergeCell ref="AQ3:AQ4"/>
    <mergeCell ref="AC3:AC4"/>
    <mergeCell ref="AO3:AO4"/>
    <mergeCell ref="Z3:Z4"/>
    <mergeCell ref="AP3:AP4"/>
    <mergeCell ref="AK3:AK4"/>
    <mergeCell ref="AU3:AU4"/>
    <mergeCell ref="BM3:BM4"/>
    <mergeCell ref="AW3:AW4"/>
    <mergeCell ref="BH3:BH4"/>
    <mergeCell ref="AY3:AY4"/>
    <mergeCell ref="BA3:BA4"/>
    <mergeCell ref="AZ3:AZ4"/>
    <mergeCell ref="AV3:AV4"/>
    <mergeCell ref="BV3:BV4"/>
    <mergeCell ref="AX3:AX4"/>
    <mergeCell ref="BN3:BN4"/>
    <mergeCell ref="BI3:BI4"/>
    <mergeCell ref="BG3:BG4"/>
    <mergeCell ref="BF3:BF4"/>
    <mergeCell ref="BE3:BE4"/>
    <mergeCell ref="BR3:BR4"/>
    <mergeCell ref="BS3:BS4"/>
    <mergeCell ref="BT3:BT4"/>
    <mergeCell ref="BQ3:BQ4"/>
    <mergeCell ref="BB3:BB4"/>
    <mergeCell ref="BC3:BC4"/>
    <mergeCell ref="BD3:BD4"/>
    <mergeCell ref="CD3:CD4"/>
    <mergeCell ref="BL3:BL4"/>
    <mergeCell ref="BK3:BK4"/>
    <mergeCell ref="BJ3:BJ4"/>
    <mergeCell ref="BP3:BP4"/>
    <mergeCell ref="BU3:BU4"/>
    <mergeCell ref="BO3:BO4"/>
    <mergeCell ref="BW3:BW4"/>
    <mergeCell ref="BY3:BY4"/>
    <mergeCell ref="BX3:BX4"/>
    <mergeCell ref="CR3:CR4"/>
    <mergeCell ref="CT3:CT4"/>
    <mergeCell ref="BZ3:BZ4"/>
    <mergeCell ref="CA3:CA4"/>
    <mergeCell ref="CB3:CB4"/>
    <mergeCell ref="DB3:DB4"/>
    <mergeCell ref="DA3:DA4"/>
    <mergeCell ref="CI3:CI4"/>
    <mergeCell ref="CH3:CH4"/>
    <mergeCell ref="CN3:CN4"/>
    <mergeCell ref="CS3:CS4"/>
    <mergeCell ref="CU3:CU4"/>
    <mergeCell ref="CO3:CO4"/>
    <mergeCell ref="CX3:CX4"/>
    <mergeCell ref="CM3:CM4"/>
    <mergeCell ref="CJ3:CJ4"/>
    <mergeCell ref="CL3:CL4"/>
    <mergeCell ref="CG3:CG4"/>
    <mergeCell ref="CE3:CE4"/>
    <mergeCell ref="CF3:CF4"/>
    <mergeCell ref="CC3:CC4"/>
    <mergeCell ref="CP3:CP4"/>
    <mergeCell ref="CQ3:CQ4"/>
    <mergeCell ref="CK3:CK4"/>
    <mergeCell ref="DK3:DK4"/>
    <mergeCell ref="CW3:CW4"/>
    <mergeCell ref="CV3:CV4"/>
    <mergeCell ref="DH3:DH4"/>
    <mergeCell ref="DG3:DG4"/>
    <mergeCell ref="DJ3:DJ4"/>
    <mergeCell ref="DE3:DE4"/>
    <mergeCell ref="DC3:DC4"/>
    <mergeCell ref="DD3:DD4"/>
    <mergeCell ref="DI3:DI4"/>
    <mergeCell ref="DO3:DO4"/>
    <mergeCell ref="EG3:EG4"/>
    <mergeCell ref="DP3:DP4"/>
    <mergeCell ref="DR3:DR4"/>
    <mergeCell ref="EH3:EH4"/>
    <mergeCell ref="CY3:CY4"/>
    <mergeCell ref="CZ3:CZ4"/>
    <mergeCell ref="DZ3:DZ4"/>
    <mergeCell ref="DY3:DY4"/>
    <mergeCell ref="DN3:DN4"/>
    <mergeCell ref="DF3:DF4"/>
    <mergeCell ref="DL3:DL4"/>
    <mergeCell ref="DQ3:DQ4"/>
    <mergeCell ref="DS3:DS4"/>
    <mergeCell ref="DM3:DM4"/>
    <mergeCell ref="DV3:DV4"/>
    <mergeCell ref="DW3:DW4"/>
    <mergeCell ref="DU3:DU4"/>
    <mergeCell ref="DT3:DT4"/>
    <mergeCell ref="EF3:EF4"/>
    <mergeCell ref="EE3:EE4"/>
    <mergeCell ref="ED3:ED4"/>
    <mergeCell ref="EC3:EC4"/>
    <mergeCell ref="EA3:EA4"/>
    <mergeCell ref="EB3:EB4"/>
    <mergeCell ref="EN3:EN4"/>
    <mergeCell ref="EP3:EP4"/>
    <mergeCell ref="FF3:FF4"/>
    <mergeCell ref="FA3:FA4"/>
    <mergeCell ref="DX3:DX4"/>
    <mergeCell ref="EX3:EX4"/>
    <mergeCell ref="EW3:EW4"/>
    <mergeCell ref="EL3:EL4"/>
    <mergeCell ref="EM3:EM4"/>
    <mergeCell ref="EJ3:EJ4"/>
    <mergeCell ref="EK3:EK4"/>
    <mergeCell ref="EI3:EI4"/>
    <mergeCell ref="FJ3:FJ4"/>
    <mergeCell ref="FK3:FK4"/>
    <mergeCell ref="GC3:GC4"/>
    <mergeCell ref="EO3:EO4"/>
    <mergeCell ref="FI3:FI4"/>
    <mergeCell ref="ET3:ET4"/>
    <mergeCell ref="EU3:EU4"/>
    <mergeCell ref="EV3:EV4"/>
    <mergeCell ref="ER3:ER4"/>
    <mergeCell ref="FD3:FD4"/>
    <mergeCell ref="FC3:FC4"/>
    <mergeCell ref="FB3:FB4"/>
    <mergeCell ref="FH3:FH4"/>
    <mergeCell ref="EY3:EY4"/>
    <mergeCell ref="EZ3:EZ4"/>
    <mergeCell ref="EQ3:EQ4"/>
    <mergeCell ref="FG3:FG4"/>
    <mergeCell ref="ES3:ES4"/>
    <mergeCell ref="FE3:FE4"/>
    <mergeCell ref="FM3:FM4"/>
    <mergeCell ref="FX3:FX4"/>
    <mergeCell ref="FO3:FO4"/>
    <mergeCell ref="FQ3:FQ4"/>
    <mergeCell ref="FP3:FP4"/>
    <mergeCell ref="FL3:FL4"/>
    <mergeCell ref="FN3:FN4"/>
    <mergeCell ref="GD3:GD4"/>
    <mergeCell ref="FY3:FY4"/>
    <mergeCell ref="FW3:FW4"/>
    <mergeCell ref="FV3:FV4"/>
    <mergeCell ref="FU3:FU4"/>
    <mergeCell ref="GH3:GH4"/>
    <mergeCell ref="GI3:GI4"/>
    <mergeCell ref="GG3:GG4"/>
    <mergeCell ref="FR3:FR4"/>
    <mergeCell ref="FS3:FS4"/>
    <mergeCell ref="FT3:FT4"/>
    <mergeCell ref="GB3:GB4"/>
    <mergeCell ref="GA3:GA4"/>
    <mergeCell ref="FZ3:FZ4"/>
    <mergeCell ref="GF3:GF4"/>
    <mergeCell ref="GK3:GK4"/>
    <mergeCell ref="GE3:GE4"/>
    <mergeCell ref="GM3:GM4"/>
    <mergeCell ref="GO3:GO4"/>
    <mergeCell ref="GN3:GN4"/>
    <mergeCell ref="GL3:GL4"/>
    <mergeCell ref="GW3:GW4"/>
    <mergeCell ref="GU3:GU4"/>
    <mergeCell ref="GV3:GV4"/>
    <mergeCell ref="GS3:GS4"/>
    <mergeCell ref="HA3:HA4"/>
    <mergeCell ref="GP3:GP4"/>
    <mergeCell ref="GQ3:GQ4"/>
    <mergeCell ref="GR3:GR4"/>
    <mergeCell ref="GJ3:GJ4"/>
    <mergeCell ref="GT3:GT4"/>
    <mergeCell ref="HF3:HF4"/>
    <mergeCell ref="HG3:HG4"/>
    <mergeCell ref="HY3:HY4"/>
    <mergeCell ref="HH3:HH4"/>
    <mergeCell ref="HJ3:HJ4"/>
    <mergeCell ref="HR3:HR4"/>
    <mergeCell ref="HQ3:HQ4"/>
    <mergeCell ref="GY3:GY4"/>
    <mergeCell ref="GX3:GX4"/>
    <mergeCell ref="HD3:HD4"/>
    <mergeCell ref="HI3:HI4"/>
    <mergeCell ref="HK3:HK4"/>
    <mergeCell ref="HE3:HE4"/>
    <mergeCell ref="HN3:HN4"/>
    <mergeCell ref="HC3:HC4"/>
    <mergeCell ref="HM3:HM4"/>
    <mergeCell ref="HL3:HL4"/>
    <mergeCell ref="GZ3:GZ4"/>
    <mergeCell ref="HB3:HB4"/>
    <mergeCell ref="IE3:IE4"/>
    <mergeCell ref="IW3:IW4"/>
    <mergeCell ref="IF3:IF4"/>
    <mergeCell ref="IH3:IH4"/>
    <mergeCell ref="IX3:IX4"/>
    <mergeCell ref="HO3:HO4"/>
    <mergeCell ref="HP3:HP4"/>
    <mergeCell ref="IP3:IP4"/>
    <mergeCell ref="IO3:IO4"/>
    <mergeCell ref="ID3:ID4"/>
    <mergeCell ref="HV3:HV4"/>
    <mergeCell ref="IB3:IB4"/>
    <mergeCell ref="IN3:IN4"/>
    <mergeCell ref="IC3:IC4"/>
    <mergeCell ref="IA3:IA4"/>
    <mergeCell ref="HX3:HX4"/>
    <mergeCell ref="HW3:HW4"/>
    <mergeCell ref="HZ3:HZ4"/>
    <mergeCell ref="HU3:HU4"/>
    <mergeCell ref="HS3:HS4"/>
    <mergeCell ref="HT3:HT4"/>
    <mergeCell ref="IZ3:IZ4"/>
    <mergeCell ref="IG3:IG4"/>
    <mergeCell ref="JA3:JA4"/>
    <mergeCell ref="IL3:IL4"/>
    <mergeCell ref="IM3:IM4"/>
    <mergeCell ref="IK3:IK4"/>
    <mergeCell ref="IJ3:IJ4"/>
    <mergeCell ref="IV3:IV4"/>
    <mergeCell ref="IU3:IU4"/>
    <mergeCell ref="IT3:IT4"/>
    <mergeCell ref="IS3:IS4"/>
    <mergeCell ref="IQ3:IQ4"/>
    <mergeCell ref="IR3:IR4"/>
    <mergeCell ref="II3:II4"/>
    <mergeCell ref="IY3:IY4"/>
    <mergeCell ref="JB3:JB4"/>
    <mergeCell ref="JC3:JC4"/>
    <mergeCell ref="JD3:JD4"/>
    <mergeCell ref="JE3:JE4"/>
    <mergeCell ref="JF3:JF4"/>
    <mergeCell ref="JG3:JG4"/>
    <mergeCell ref="JH3:JH4"/>
    <mergeCell ref="JI3:JI4"/>
    <mergeCell ref="JJ3:JJ4"/>
    <mergeCell ref="JT3:JT4"/>
    <mergeCell ref="JU3:JU4"/>
    <mergeCell ref="JV3:JV4"/>
    <mergeCell ref="JW3:JW4"/>
    <mergeCell ref="JX3:JX4"/>
    <mergeCell ref="JY3:JY4"/>
    <mergeCell ref="JK3:JK4"/>
    <mergeCell ref="JL3:JL4"/>
    <mergeCell ref="JM3:JM4"/>
    <mergeCell ref="JN3:JN4"/>
    <mergeCell ref="JO3:JO4"/>
    <mergeCell ref="JP3:JP4"/>
    <mergeCell ref="JQ3:JQ4"/>
    <mergeCell ref="JR3:JR4"/>
    <mergeCell ref="JS3:JS4"/>
  </mergeCells>
  <phoneticPr fontId="61" type="noConversion"/>
  <dataValidations count="1">
    <dataValidation type="list" allowBlank="1" showInputMessage="1" showErrorMessage="1" sqref="D5:D9 D14:D18 D23:D27" xr:uid="{59120CCC-56D9-2A4E-ABFC-6681D27D7BC4}">
      <formula1>$B$34:$B$58</formula1>
    </dataValidation>
  </dataValidations>
  <pageMargins left="0.7" right="0.7" top="0.75" bottom="0.75" header="0.3" footer="0.3"/>
  <pageSetup scale="43" orientation="landscape" horizontalDpi="0" verticalDpi="0"/>
  <ignoredErrors>
    <ignoredError sqref="F28 G10 G19 G28 F19 F10 F5:F9 F11:F18 F20:F27" unlockedFormula="1"/>
    <ignoredError sqref="G25"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2A88-3165-BD4B-855B-8684A176C623}">
  <sheetPr codeName="Sheet3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12" t="s">
        <v>8</v>
      </c>
      <c r="B1" s="20"/>
      <c r="C1" s="5"/>
      <c r="D1" s="10"/>
      <c r="E1" s="5"/>
      <c r="F1" s="5"/>
    </row>
    <row r="2" spans="1:18" ht="20">
      <c r="A2" s="3"/>
      <c r="B2" s="709" t="str">
        <f>'Prices_Yields&amp;SeedInputs'!B25&amp;", Cash Costs and Returns of Producing, $/acre."</f>
        <v>HR Winter Wheat,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'Prices_Yields&amp;SeedInputs'!B25</f>
        <v>HR Winter Wheat</v>
      </c>
      <c r="C4" s="16" t="str">
        <f>'Prices_Yields&amp;SeedInputs'!C25</f>
        <v>bu</v>
      </c>
      <c r="D4" s="113">
        <f>'Prices_Yields&amp;SeedInputs'!D25</f>
        <v>6.44</v>
      </c>
      <c r="E4" s="111">
        <f>'Prices_Yields&amp;SeedInputs'!E25</f>
        <v>60</v>
      </c>
      <c r="F4" s="28">
        <f>D4*E4</f>
        <v>386.40000000000003</v>
      </c>
      <c r="Q4" s="579"/>
      <c r="R4" s="579"/>
    </row>
    <row r="5" spans="1:18" ht="20">
      <c r="A5" s="3"/>
      <c r="B5" s="9" t="s">
        <v>14</v>
      </c>
      <c r="C5" s="22"/>
      <c r="D5" s="23"/>
      <c r="E5" s="22"/>
      <c r="F5" s="37">
        <f>SUM(F4:F4)</f>
        <v>386.40000000000003</v>
      </c>
      <c r="H5">
        <f>D4*'Prices_Yields&amp;SeedInputs'!F25</f>
        <v>386.40000000000003</v>
      </c>
      <c r="I5">
        <f>D4*'Prices_Yields&amp;SeedInputs'!G25</f>
        <v>386.40000000000003</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'Prices_Yields&amp;SeedInputs'!H25</f>
        <v>pound</v>
      </c>
      <c r="D8" s="76">
        <f>'Prices_Yields&amp;SeedInputs'!I25</f>
        <v>0.3</v>
      </c>
      <c r="E8" s="77">
        <f>'Prices_Yields&amp;SeedInputs'!J25</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'Chem&amp;FertInputs&amp;CInsurance'!Z6</f>
        <v>130</v>
      </c>
      <c r="F9" s="101">
        <f t="shared" si="0"/>
        <v>63.375</v>
      </c>
      <c r="H9">
        <f>'Chem&amp;FertInputs&amp;CInsurance'!Z7</f>
        <v>130</v>
      </c>
      <c r="I9">
        <f>'Chem&amp;FertInputs&amp;CInsurance'!Z8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'Chem&amp;FertInputs&amp;CInsurance'!Z9</f>
        <v>0</v>
      </c>
      <c r="F10" s="101" t="str">
        <f t="shared" si="0"/>
        <v>0</v>
      </c>
      <c r="H10">
        <f>'Chem&amp;FertInputs&amp;CInsurance'!Z10</f>
        <v>0</v>
      </c>
      <c r="I10">
        <f>'Chem&amp;FertInputs&amp;CInsurance'!Z11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'Chem&amp;FertInputs&amp;CInsurance'!Z12</f>
        <v>5</v>
      </c>
      <c r="F11" s="101">
        <f t="shared" si="0"/>
        <v>2.375</v>
      </c>
      <c r="H11">
        <f>'Chem&amp;FertInputs&amp;CInsurance'!Z13</f>
        <v>5</v>
      </c>
      <c r="I11">
        <f>'Chem&amp;FertInputs&amp;CInsurance'!Z14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'Chem&amp;FertInputs&amp;CInsurance'!Z15</f>
        <v>0</v>
      </c>
      <c r="F12" s="101" t="str">
        <f t="shared" si="0"/>
        <v>0</v>
      </c>
      <c r="H12">
        <f>'Chem&amp;FertInputs&amp;CInsurance'!Z16</f>
        <v>0</v>
      </c>
      <c r="I12">
        <f>'Chem&amp;FertInputs&amp;CInsurance'!Z17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'Chem&amp;FertInputs&amp;CInsurance'!Z18</f>
        <v>25</v>
      </c>
      <c r="F13" s="101">
        <f t="shared" si="0"/>
        <v>6.3875000000000002</v>
      </c>
      <c r="H13">
        <f>'Chem&amp;FertInputs&amp;CInsurance'!Z19</f>
        <v>25</v>
      </c>
      <c r="I13">
        <f>'Chem&amp;FertInputs&amp;CInsurance'!Z20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'Chem&amp;FertInputs&amp;CInsurance'!Z21</f>
        <v>1.7</v>
      </c>
      <c r="F14" s="101">
        <f t="shared" ref="F14:F20" si="1">IF(D14*E14=0,"0",D14*E14)</f>
        <v>0.81599999999999995</v>
      </c>
      <c r="G14" s="146">
        <f>E14/128</f>
        <v>1.328125E-2</v>
      </c>
      <c r="H14">
        <f>'Chem&amp;FertInputs&amp;CInsurance'!Z22</f>
        <v>1.7</v>
      </c>
      <c r="I14">
        <f>'Chem&amp;FertInputs&amp;CInsurance'!Z23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'Chem&amp;FertInputs&amp;CInsurance'!Z24</f>
        <v>0</v>
      </c>
      <c r="F15" s="101" t="str">
        <f t="shared" si="1"/>
        <v>0</v>
      </c>
      <c r="G15" s="146">
        <f>E15/16</f>
        <v>0</v>
      </c>
      <c r="H15">
        <f>'Chem&amp;FertInputs&amp;CInsurance'!Z25</f>
        <v>0</v>
      </c>
      <c r="I15">
        <f>'Chem&amp;FertInputs&amp;CInsurance'!Z26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'Chem&amp;FertInputs&amp;CInsurance'!Z27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'Chem&amp;FertInputs&amp;CInsurance'!Z28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'Chem&amp;FertInputs&amp;CInsurance'!Z29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'Chem&amp;FertInputs&amp;CInsurance'!Z30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'Chem&amp;FertInputs&amp;CInsurance'!Z31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'Chem&amp;FertInputs&amp;CInsurance'!Z33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'Chem&amp;FertInputs&amp;CInsurance'!Z34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'Chem&amp;FertInputs&amp;CInsurance'!Z35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'Chem&amp;FertInputs&amp;CInsurance'!Z36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'Chem&amp;FertInputs&amp;CInsurance'!Z37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'Chem&amp;FertInputs&amp;CInsurance'!Z38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'Chem&amp;FertInputs&amp;CInsurance'!Z39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'Chem&amp;FertInputs&amp;CInsurance'!Z40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'Chem&amp;FertInputs&amp;CInsurance'!Z41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'Chem&amp;FertInputs&amp;CInsurance'!Z42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'Chem&amp;FertInputs&amp;CInsurance'!Z43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'Chem&amp;FertInputs&amp;CInsurance'!Z44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'Chem&amp;FertInputs&amp;CInsurance'!Z45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'Chem&amp;FertInputs&amp;CInsurance'!Z46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'Chem&amp;FertInputs&amp;CInsurance'!Z47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'Chem&amp;FertInputs&amp;CInsurance'!Z48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'Chem&amp;FertInputs&amp;CInsurance'!Z49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'Chem&amp;FertInputs&amp;CInsurance'!Z50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'Chem&amp;FertInputs&amp;CInsurance'!Z51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'Chem&amp;FertInputs&amp;CInsurance'!Z52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'Chem&amp;FertInputs&amp;CInsurance'!Z53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'Chem&amp;FertInputs&amp;CInsurance'!Z54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'Chem&amp;FertInputs&amp;CInsurance'!Z55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'Chem&amp;FertInputs&amp;CInsurance'!Z56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'Chem&amp;FertInputs&amp;CInsurance'!Z57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'Chem&amp;FertInputs&amp;CInsurance'!Z58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'Chem&amp;FertInputs&amp;CInsurance'!Z59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'Chem&amp;FertInputs&amp;CInsurance'!Z60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'Chem&amp;FertInputs&amp;CInsurance'!Z61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'Chem&amp;FertInputs&amp;CInsurance'!Z62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'Chem&amp;FertInputs&amp;CInsurance'!Z63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'Chem&amp;FertInputs&amp;CInsurance'!Z64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'Chem&amp;FertInputs&amp;CInsurance'!Z65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'Chem&amp;FertInputs&amp;CInsurance'!Z66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'Chem&amp;FertInputs&amp;CInsurance'!Z67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'Chem&amp;FertInputs&amp;CInsurance'!Z68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'Chem&amp;FertInputs&amp;CInsurance'!Z69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'Chem&amp;FertInputs&amp;CInsurance'!Z70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'Chem&amp;FertInputs&amp;CInsurance'!Z71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'Chem&amp;FertInputs&amp;CInsurance'!Z72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'Chem&amp;FertInputs&amp;CInsurance'!Z32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CustomRates!X5</f>
        <v>8.9499999999999993</v>
      </c>
      <c r="E63" s="74">
        <f>CustomRates!X6</f>
        <v>0</v>
      </c>
      <c r="F63" s="101" t="str">
        <f t="shared" ref="F63:F70" si="11">IF(D63*E63=0,"0",D63*E63)</f>
        <v>0</v>
      </c>
    </row>
    <row r="64" spans="1:7" ht="20">
      <c r="A64" s="3"/>
      <c r="B64" s="108" t="str">
        <f>CustomRates!B7</f>
        <v>Sprayer (Rental 90')</v>
      </c>
      <c r="C64" s="32" t="str">
        <f>CustomRates!C7</f>
        <v>acre</v>
      </c>
      <c r="D64" s="100">
        <f>CustomRates!X7</f>
        <v>8</v>
      </c>
      <c r="E64" s="74">
        <f>CustomRates!X8</f>
        <v>1</v>
      </c>
      <c r="F64" s="101">
        <f t="shared" si="11"/>
        <v>8</v>
      </c>
    </row>
    <row r="65" spans="1:9" ht="20">
      <c r="A65" s="3"/>
      <c r="B65" s="108" t="str">
        <f>CustomRates!B9</f>
        <v>Fertilizer - Anhydrous Applicator (Rent)</v>
      </c>
      <c r="C65" s="32" t="str">
        <f>CustomRates!C9</f>
        <v>acre</v>
      </c>
      <c r="D65" s="100">
        <f>CustomRates!X9</f>
        <v>7</v>
      </c>
      <c r="E65" s="74">
        <f>CustomRates!X10</f>
        <v>0</v>
      </c>
      <c r="F65" s="101" t="str">
        <f t="shared" si="11"/>
        <v>0</v>
      </c>
    </row>
    <row r="66" spans="1:9" ht="20">
      <c r="A66" s="3"/>
      <c r="B66" s="108" t="str">
        <f>CustomRates!B11</f>
        <v>Fertilizer Applicator</v>
      </c>
      <c r="C66" s="32" t="str">
        <f>CustomRates!C11</f>
        <v>acre</v>
      </c>
      <c r="D66" s="100">
        <f>CustomRates!X11</f>
        <v>2</v>
      </c>
      <c r="E66" s="74">
        <f>CustomRates!X12</f>
        <v>0</v>
      </c>
      <c r="F66" s="101" t="str">
        <f t="shared" si="11"/>
        <v>0</v>
      </c>
    </row>
    <row r="67" spans="1:9" ht="20">
      <c r="A67" s="3"/>
      <c r="B67" s="108" t="str">
        <f>CustomRates!B13</f>
        <v>26' Rental Shredder</v>
      </c>
      <c r="C67" s="32" t="str">
        <f>CustomRates!C13</f>
        <v>acre</v>
      </c>
      <c r="D67" s="100">
        <f>CustomRates!X13</f>
        <v>10</v>
      </c>
      <c r="E67" s="74">
        <f>CustomRates!X14</f>
        <v>0</v>
      </c>
      <c r="F67" s="101" t="str">
        <f t="shared" si="11"/>
        <v>0</v>
      </c>
    </row>
    <row r="68" spans="1:9" ht="20">
      <c r="A68" s="3"/>
      <c r="B68" s="108" t="str">
        <f>CustomRates!B15</f>
        <v>36' Ripper Shooter</v>
      </c>
      <c r="C68" s="32" t="str">
        <f>CustomRates!C15</f>
        <v>acre</v>
      </c>
      <c r="D68" s="100">
        <f>CustomRates!X15</f>
        <v>2.5</v>
      </c>
      <c r="E68" s="74">
        <f>CustomRates!X16</f>
        <v>0</v>
      </c>
      <c r="F68" s="101" t="str">
        <f t="shared" si="11"/>
        <v>0</v>
      </c>
    </row>
    <row r="69" spans="1:9" ht="20">
      <c r="A69" s="3"/>
      <c r="B69" s="108" t="str">
        <f>CustomRates!B17</f>
        <v>Custom self-propelled sprayer</v>
      </c>
      <c r="C69" s="32" t="str">
        <f>CustomRates!C17</f>
        <v>acre</v>
      </c>
      <c r="D69" s="100">
        <f>CustomRates!X17</f>
        <v>8</v>
      </c>
      <c r="E69" s="74">
        <f>CustomRates!X18</f>
        <v>0</v>
      </c>
      <c r="F69" s="101" t="str">
        <f t="shared" si="11"/>
        <v>0</v>
      </c>
    </row>
    <row r="70" spans="1:9" ht="20">
      <c r="A70" s="3"/>
      <c r="B70" s="108" t="str">
        <f>CustomRates!B19</f>
        <v>Additional Operation #8 (Custom)</v>
      </c>
      <c r="C70" s="32" t="str">
        <f>CustomRates!C19</f>
        <v>acre</v>
      </c>
      <c r="D70" s="100">
        <f>CustomRates!X19</f>
        <v>0</v>
      </c>
      <c r="E70" s="74">
        <f>CustomRates!X20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FieldApplications!$W$6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FieldApplications!$W$6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FieldApplications!$W$6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FieldApplications!$W$7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FieldApplications!$W$7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FieldApplications!$W$7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FieldApplications!$W$8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FieldApplications!$W$8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FieldApplications!$W$8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FieldApplications!$W$9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FieldApplications!$W$9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FieldApplications!$W$9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FieldApplications!$W$10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FieldApplications!$W$10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FieldApplications!$W$10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FieldApplications!$W$11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FieldApplications!$W$11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FieldApplications!$W$11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FieldApplications!$W$12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FieldApplications!$W$12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FieldApplications!$W$12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FieldApplications!$W$13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FieldApplications!$W$13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FieldApplications!$W$13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FieldApplications!$W$14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FieldApplications!$W$14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FieldApplications!$W$14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FieldApplications!$W$15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FieldApplications!$W$15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FieldApplications!$W$15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FieldApplications!$W$16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FieldApplications!$W$16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FieldApplications!$W$16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'Chem&amp;FertInputs&amp;CInsurance'!Z73</f>
        <v>17</v>
      </c>
      <c r="E115" s="74">
        <v>1</v>
      </c>
      <c r="F115" s="101">
        <f>IF(D115*E115=0,"0",D115*E115)</f>
        <v>17</v>
      </c>
      <c r="H115" t="s">
        <v>181</v>
      </c>
      <c r="I115" t="s">
        <v>181</v>
      </c>
    </row>
    <row r="116" spans="1:13" ht="20">
      <c r="A116" s="3"/>
      <c r="B116" s="72" t="s">
        <v>72</v>
      </c>
      <c r="C116" s="32" t="s">
        <v>83</v>
      </c>
      <c r="D116" s="95">
        <f>MachineAssumptions!D25</f>
        <v>0.05</v>
      </c>
      <c r="E116" s="74"/>
      <c r="F116" s="73">
        <f>SUM(F8:F115)*D116</f>
        <v>12.237332341009543</v>
      </c>
      <c r="G116" t="s">
        <v>111</v>
      </c>
      <c r="H116" s="40">
        <f>(SUM($F8:$F70)+$F115+SUM(H72:H113))*$D116</f>
        <v>12.238058445260487</v>
      </c>
      <c r="I116" s="40">
        <f>(SUM($F8:$F70)+$F115+SUM(I72:I113))*$D116</f>
        <v>12.097175605381601</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13.009813945035772</v>
      </c>
      <c r="G117" t="s">
        <v>4</v>
      </c>
      <c r="H117" s="40">
        <f>(SUM(F8:F70)+(F115+F116+H114))*((D117/12)*MachineAssumptions!D27)</f>
        <v>13.010549125589849</v>
      </c>
      <c r="I117" s="40">
        <f>(SUM(F8:F70)+(F115+F116+I114))*((D117/12)*MachineAssumptions!D27)</f>
        <v>12.867905250212479</v>
      </c>
      <c r="J117" s="40">
        <f>F73+F76+F79+F82+F85+F88+F91+F94+F97+F100+F103+F106+F109+F112</f>
        <v>37.921401983080372</v>
      </c>
      <c r="K117" t="s">
        <v>4</v>
      </c>
    </row>
    <row r="118" spans="1:13" ht="20">
      <c r="A118" s="3"/>
      <c r="B118" s="9" t="s">
        <v>85</v>
      </c>
      <c r="C118" s="22"/>
      <c r="D118" s="124"/>
      <c r="E118" s="125"/>
      <c r="F118" s="126">
        <f>SUM(F8:F117)</f>
        <v>269.99379310623618</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294.03490258270676</v>
      </c>
      <c r="H137" s="38">
        <f>SUM(F16:F70)+H114+F115+H116+H117+H135+F8+(H9*D9)+(H10*D10)+(H11*D11)+(H12*D12)+(H13*D13)+(H14*D14)+(H15*D15)</f>
        <v>294.05052209997416</v>
      </c>
      <c r="I137" s="38">
        <f>SUM(F16:F70)+I114+F115+I116+I117+I135+F8+(I9*D9)+(I10*D10)+(I11*D11)+(I12*D12)+(I13*D13)+(I14*D14)+(I15*D15)</f>
        <v>290.94970243969669</v>
      </c>
    </row>
    <row r="138" spans="1:9" ht="21">
      <c r="A138" s="3"/>
      <c r="B138" s="24" t="s">
        <v>32</v>
      </c>
      <c r="C138" s="25"/>
      <c r="D138" s="26"/>
      <c r="E138" s="25"/>
      <c r="F138" s="39">
        <f>F5-F137</f>
        <v>92.365097417293271</v>
      </c>
      <c r="H138" s="215">
        <f>H5-H137</f>
        <v>92.349477900025875</v>
      </c>
      <c r="I138" s="215">
        <f>I5-I137</f>
        <v>95.450297560303341</v>
      </c>
    </row>
  </sheetData>
  <mergeCells count="1">
    <mergeCell ref="B2:F2"/>
  </mergeCells>
  <pageMargins left="0.7" right="0.7" top="0.75" bottom="0.75" header="0.3" footer="0.3"/>
  <pageSetup scale="57" orientation="portrait" horizontalDpi="0" verticalDpi="0"/>
  <ignoredErrors>
    <ignoredError sqref="B114:F114 B62:E62 B90:B113 B116:F116 B115:D115 F135:F137 D117 B127:C134 E127:F134 E121:F123 E124:F124 B121:C124 B84:B89 B125:F126 B4:B7 C14:D14 C13:D13 C9:D9 F9 C10:D10 F10 C11:D11 F11 C12:D12 F12 F13 F14 F4 F8 F5:F7 D4:E4 C5:E7 C4 C8:E8 B71:E71 B63:C63 B64:C64 B65:C65 B66:C66 B67:C67 B68:C68 B69:C69 B70:C70 D63:E70 B2 B73:B83 B72 D72:E72 D90:E113 D84:F89 D73:E83 G124 G127:G134 B61:D61 F60 F57 B57:D57 F56 B56:D56 F55 B55:D55 F54 B54:D54 F51 B51:D51 F50 B50:D50 F49 B49:D49 F48 B48:D48 F47 B47:D47 F46 B46:D46 F45 B45:D45 F44 B44:D44 F43 B43:D43 F42 B42:D42 F40 B40:D40 F39 B39:D39 F38 B38:D38 F37 B37:D37 F36 B36:D36 F35 B35:D35 F34 B34:D34 F33 B33:D33 F31 B31:D31 F30 B30:D30 F29 B29:D29 F28 B28:D28 F27 B27:D27 F26 B26:D26 F25 B25:D25 F24 B24:D24 F23 B23:D23 F22 B22:D22 F21 B21:D21 B60:D60 B16:G20 E61:G61 E60 B32:G32 E21 G21 E22 G22 E23 G23 E24 G24 E25 G25 E26 G26 E27 G27 E28 G28 E29 G29 E30 G30 E31 G31 B41:G41 E33 G33 E34 G34 E35 G35 E36 G36 E37 G37 E38 G38 E39 G39 E40 G40 B52:G53 E42 G42 E43 G43 E44 G44 E45 G45 E46 G46 E47 G47 E48 G48 E49 G49 E50 G50 E51 G51 B58:G59 E54 G54 E55 G55 E56 G56 E57 G57 G60 E115 C15:G15 B9:B15" unlockedFormula="1"/>
    <ignoredError sqref="D127:D134 D121:D124" formula="1" unlockedFormula="1"/>
    <ignoredError sqref="D135" 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CE7-9417-A547-BAB2-9C2D8701DC6F}">
  <sheetPr codeName="Sheet4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'Prices_Yields&amp;SeedInputs'!B26&amp;", Cash Costs and Returns of Producing, $/acre."</f>
        <v>Winter Pea,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'Prices_Yields&amp;SeedInputs'!B26</f>
        <v>Winter Pea</v>
      </c>
      <c r="C4" s="15" t="str">
        <f>'Prices_Yields&amp;SeedInputs'!C26</f>
        <v>lb</v>
      </c>
      <c r="D4" s="10">
        <f>'Prices_Yields&amp;SeedInputs'!D26</f>
        <v>0.12</v>
      </c>
      <c r="E4" s="77">
        <f>'Prices_Yields&amp;SeedInputs'!E26</f>
        <v>2000</v>
      </c>
      <c r="F4" s="28">
        <f>D4*E4</f>
        <v>240</v>
      </c>
      <c r="Q4" s="579"/>
      <c r="R4" s="579"/>
    </row>
    <row r="5" spans="1:18" ht="20">
      <c r="A5" s="3"/>
      <c r="B5" s="9" t="s">
        <v>14</v>
      </c>
      <c r="C5" s="22"/>
      <c r="D5" s="23"/>
      <c r="E5" s="22"/>
      <c r="F5" s="37">
        <f>SUM(F4:F4)</f>
        <v>240</v>
      </c>
      <c r="H5">
        <f>D4*'Prices_Yields&amp;SeedInputs'!F26</f>
        <v>240</v>
      </c>
      <c r="I5">
        <f>D4*'Prices_Yields&amp;SeedInputs'!G26</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'Prices_Yields&amp;SeedInputs'!H26</f>
        <v>pound</v>
      </c>
      <c r="D8" s="73">
        <f>'Prices_Yields&amp;SeedInputs'!I26</f>
        <v>0.34</v>
      </c>
      <c r="E8" s="104">
        <f>'Prices_Yields&amp;SeedInputs'!J26</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'Chem&amp;FertInputs&amp;CInsurance'!AA6</f>
        <v>0</v>
      </c>
      <c r="F9" s="101" t="str">
        <f t="shared" si="0"/>
        <v>0</v>
      </c>
      <c r="H9">
        <f>'Chem&amp;FertInputs&amp;CInsurance'!AA7</f>
        <v>0</v>
      </c>
      <c r="I9">
        <f>'Chem&amp;FertInputs&amp;CInsurance'!AA8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'Chem&amp;FertInputs&amp;CInsurance'!AA9</f>
        <v>0</v>
      </c>
      <c r="F10" s="101" t="str">
        <f t="shared" si="0"/>
        <v>0</v>
      </c>
      <c r="H10">
        <f>'Chem&amp;FertInputs&amp;CInsurance'!AA10</f>
        <v>0</v>
      </c>
      <c r="I10">
        <f>'Chem&amp;FertInputs&amp;CInsurance'!AA11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'Chem&amp;FertInputs&amp;CInsurance'!AA12</f>
        <v>0</v>
      </c>
      <c r="F11" s="101" t="str">
        <f t="shared" si="0"/>
        <v>0</v>
      </c>
      <c r="H11">
        <f>'Chem&amp;FertInputs&amp;CInsurance'!AA13</f>
        <v>0</v>
      </c>
      <c r="I11">
        <f>'Chem&amp;FertInputs&amp;CInsurance'!AA14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'Chem&amp;FertInputs&amp;CInsurance'!AA15</f>
        <v>0</v>
      </c>
      <c r="F12" s="101" t="str">
        <f t="shared" si="0"/>
        <v>0</v>
      </c>
      <c r="H12">
        <f>'Chem&amp;FertInputs&amp;CInsurance'!AA16</f>
        <v>0</v>
      </c>
      <c r="I12">
        <f>'Chem&amp;FertInputs&amp;CInsurance'!AA17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'Chem&amp;FertInputs&amp;CInsurance'!AA18</f>
        <v>0</v>
      </c>
      <c r="F13" s="101" t="str">
        <f t="shared" si="0"/>
        <v>0</v>
      </c>
      <c r="H13">
        <f>'Chem&amp;FertInputs&amp;CInsurance'!AA19</f>
        <v>0</v>
      </c>
      <c r="I13">
        <f>'Chem&amp;FertInputs&amp;CInsurance'!AA20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'Chem&amp;FertInputs&amp;CInsurance'!AA21</f>
        <v>1.7</v>
      </c>
      <c r="F14" s="101">
        <f t="shared" ref="F14:F20" si="1">IF(D14*E14=0,"0",D14*E14)</f>
        <v>0.81599999999999995</v>
      </c>
      <c r="G14" s="146">
        <f>E14/128</f>
        <v>1.328125E-2</v>
      </c>
      <c r="H14">
        <f>'Chem&amp;FertInputs&amp;CInsurance'!AA22</f>
        <v>1.7</v>
      </c>
      <c r="I14">
        <f>'Chem&amp;FertInputs&amp;CInsurance'!AA23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'Chem&amp;FertInputs&amp;CInsurance'!AA24</f>
        <v>0</v>
      </c>
      <c r="F15" s="101" t="str">
        <f t="shared" si="1"/>
        <v>0</v>
      </c>
      <c r="G15" s="146">
        <f>E15/16</f>
        <v>0</v>
      </c>
      <c r="H15">
        <f>'Chem&amp;FertInputs&amp;CInsurance'!AA25</f>
        <v>0</v>
      </c>
      <c r="I15">
        <f>'Chem&amp;FertInputs&amp;CInsurance'!AA26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'Chem&amp;FertInputs&amp;CInsurance'!AA27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'Chem&amp;FertInputs&amp;CInsurance'!AA28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'Chem&amp;FertInputs&amp;CInsurance'!AA29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'Chem&amp;FertInputs&amp;CInsurance'!AA30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'Chem&amp;FertInputs&amp;CInsurance'!AA31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'Chem&amp;FertInputs&amp;CInsurance'!AA33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'Chem&amp;FertInputs&amp;CInsurance'!AA34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'Chem&amp;FertInputs&amp;CInsurance'!AA35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'Chem&amp;FertInputs&amp;CInsurance'!AA36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'Chem&amp;FertInputs&amp;CInsurance'!AA37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'Chem&amp;FertInputs&amp;CInsurance'!AA38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'Chem&amp;FertInputs&amp;CInsurance'!AA39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'Chem&amp;FertInputs&amp;CInsurance'!AA40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'Chem&amp;FertInputs&amp;CInsurance'!AA41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'Chem&amp;FertInputs&amp;CInsurance'!AA42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'Chem&amp;FertInputs&amp;CInsurance'!AA43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'Chem&amp;FertInputs&amp;CInsurance'!AA44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'Chem&amp;FertInputs&amp;CInsurance'!AA45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'Chem&amp;FertInputs&amp;CInsurance'!AA46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'Chem&amp;FertInputs&amp;CInsurance'!AA47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'Chem&amp;FertInputs&amp;CInsurance'!AA48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'Chem&amp;FertInputs&amp;CInsurance'!AA49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'Chem&amp;FertInputs&amp;CInsurance'!AA50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'Chem&amp;FertInputs&amp;CInsurance'!AA51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'Chem&amp;FertInputs&amp;CInsurance'!AA52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'Chem&amp;FertInputs&amp;CInsurance'!AA53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'Chem&amp;FertInputs&amp;CInsurance'!AA54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'Chem&amp;FertInputs&amp;CInsurance'!AA55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'Chem&amp;FertInputs&amp;CInsurance'!AA56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'Chem&amp;FertInputs&amp;CInsurance'!AA57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'Chem&amp;FertInputs&amp;CInsurance'!AA58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'Chem&amp;FertInputs&amp;CInsurance'!AA59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'Chem&amp;FertInputs&amp;CInsurance'!AA60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'Chem&amp;FertInputs&amp;CInsurance'!AA61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'Chem&amp;FertInputs&amp;CInsurance'!AA62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'Chem&amp;FertInputs&amp;CInsurance'!AA63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'Chem&amp;FertInputs&amp;CInsurance'!AA64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'Chem&amp;FertInputs&amp;CInsurance'!AA65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'Chem&amp;FertInputs&amp;CInsurance'!AA66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'Chem&amp;FertInputs&amp;CInsurance'!AA67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'Chem&amp;FertInputs&amp;CInsurance'!AA68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'Chem&amp;FertInputs&amp;CInsurance'!AA69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'Chem&amp;FertInputs&amp;CInsurance'!AA70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'Chem&amp;FertInputs&amp;CInsurance'!AA71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'Chem&amp;FertInputs&amp;CInsurance'!AA72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'Chem&amp;FertInputs&amp;CInsurance'!AA32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CustomRates!Y5</f>
        <v>8.9499999999999993</v>
      </c>
      <c r="E63" s="74">
        <f>CustomRates!Y6</f>
        <v>1</v>
      </c>
      <c r="F63" s="101">
        <f t="shared" ref="F63:F70" si="11">IF(D63*E63=0,"0",D63*E63)</f>
        <v>8.9499999999999993</v>
      </c>
    </row>
    <row r="64" spans="1:7" ht="20">
      <c r="A64" s="3"/>
      <c r="B64" s="108" t="str">
        <f>CustomRates!B7</f>
        <v>Sprayer (Rental 90')</v>
      </c>
      <c r="C64" s="32" t="str">
        <f>CustomRates!C7</f>
        <v>acre</v>
      </c>
      <c r="D64" s="100">
        <f>CustomRates!Y7</f>
        <v>8</v>
      </c>
      <c r="E64" s="74">
        <f>CustomRates!Y8</f>
        <v>0</v>
      </c>
      <c r="F64" s="101" t="str">
        <f t="shared" si="11"/>
        <v>0</v>
      </c>
    </row>
    <row r="65" spans="1:9" ht="20">
      <c r="A65" s="3"/>
      <c r="B65" s="108" t="str">
        <f>CustomRates!B9</f>
        <v>Fertilizer - Anhydrous Applicator (Rent)</v>
      </c>
      <c r="C65" s="32" t="str">
        <f>CustomRates!C9</f>
        <v>acre</v>
      </c>
      <c r="D65" s="100">
        <f>CustomRates!Y9</f>
        <v>7</v>
      </c>
      <c r="E65" s="74">
        <f>CustomRates!Y10</f>
        <v>0</v>
      </c>
      <c r="F65" s="101" t="str">
        <f t="shared" si="11"/>
        <v>0</v>
      </c>
    </row>
    <row r="66" spans="1:9" ht="20">
      <c r="A66" s="3"/>
      <c r="B66" s="108" t="str">
        <f>CustomRates!B11</f>
        <v>Fertilizer Applicator</v>
      </c>
      <c r="C66" s="32" t="str">
        <f>CustomRates!C11</f>
        <v>acre</v>
      </c>
      <c r="D66" s="100">
        <f>CustomRates!Y11</f>
        <v>2</v>
      </c>
      <c r="E66" s="74">
        <f>CustomRates!Y12</f>
        <v>0</v>
      </c>
      <c r="F66" s="101" t="str">
        <f t="shared" si="11"/>
        <v>0</v>
      </c>
    </row>
    <row r="67" spans="1:9" ht="20">
      <c r="A67" s="3"/>
      <c r="B67" s="108" t="str">
        <f>CustomRates!B13</f>
        <v>26' Rental Shredder</v>
      </c>
      <c r="C67" s="32" t="str">
        <f>CustomRates!C13</f>
        <v>acre</v>
      </c>
      <c r="D67" s="100">
        <f>CustomRates!Y13</f>
        <v>10</v>
      </c>
      <c r="E67" s="74">
        <f>CustomRates!Y14</f>
        <v>0</v>
      </c>
      <c r="F67" s="101" t="str">
        <f t="shared" si="11"/>
        <v>0</v>
      </c>
    </row>
    <row r="68" spans="1:9" ht="20">
      <c r="A68" s="3"/>
      <c r="B68" s="108" t="str">
        <f>CustomRates!B15</f>
        <v>36' Ripper Shooter</v>
      </c>
      <c r="C68" s="32" t="str">
        <f>CustomRates!C15</f>
        <v>acre</v>
      </c>
      <c r="D68" s="100">
        <f>CustomRates!Y15</f>
        <v>2.5</v>
      </c>
      <c r="E68" s="74">
        <f>CustomRates!Y16</f>
        <v>0</v>
      </c>
      <c r="F68" s="101" t="str">
        <f t="shared" si="11"/>
        <v>0</v>
      </c>
    </row>
    <row r="69" spans="1:9" ht="20">
      <c r="A69" s="3"/>
      <c r="B69" s="108" t="str">
        <f>CustomRates!B17</f>
        <v>Custom self-propelled sprayer</v>
      </c>
      <c r="C69" s="32" t="str">
        <f>CustomRates!C17</f>
        <v>acre</v>
      </c>
      <c r="D69" s="100">
        <f>CustomRates!Y17</f>
        <v>8</v>
      </c>
      <c r="E69" s="74">
        <f>CustomRates!Y18</f>
        <v>0</v>
      </c>
      <c r="F69" s="101" t="str">
        <f t="shared" si="11"/>
        <v>0</v>
      </c>
    </row>
    <row r="70" spans="1:9" ht="20">
      <c r="A70" s="3"/>
      <c r="B70" s="108" t="str">
        <f>CustomRates!B19</f>
        <v>Additional Operation #8 (Custom)</v>
      </c>
      <c r="C70" s="32" t="str">
        <f>CustomRates!C19</f>
        <v>acre</v>
      </c>
      <c r="D70" s="100">
        <f>CustomRates!Y19</f>
        <v>0</v>
      </c>
      <c r="E70" s="74">
        <f>CustomRates!Y20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FieldApplications!$X$6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FieldApplications!$X$6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FieldApplications!$X$6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FieldApplications!$X$7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FieldApplications!$X$7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FieldApplications!$X$7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FieldApplications!$X$8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FieldApplications!$X$8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FieldApplications!$X$8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FieldApplications!$X$9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FieldApplications!$X$9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FieldApplications!$X$9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FieldApplications!$X$10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FieldApplications!$X$10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FieldApplications!$X$10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FieldApplications!$X$11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FieldApplications!$X$11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FieldApplications!$X$11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FieldApplications!$X$12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FieldApplications!$X$12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FieldApplications!$X$12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FieldApplications!$X$13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FieldApplications!$X$13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FieldApplications!$X$13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FieldApplications!$X$14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FieldApplications!$X$14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FieldApplications!$X$14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FieldApplications!$X$15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FieldApplications!$X$15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FieldApplications!$X$15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FieldApplications!$X$16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FieldApplications!$X$16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FieldApplications!$X$16</f>
        <v>2</v>
      </c>
      <c r="F104" s="101">
        <f t="shared" si="12"/>
        <v>0.99591898126439538</v>
      </c>
      <c r="H104" s="211">
        <f>MachineAssumptions!$T$38*E104</f>
        <v>1.0056003712769741</v>
      </c>
      <c r="I104" s="147">
        <f>MachineAssumptions!$T$58*E104</f>
        <v>0.9021656572032456</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69.099927232233242</v>
      </c>
      <c r="I114" s="214">
        <f>SUM(I74:I113)</f>
        <v>66.333987791692408</v>
      </c>
    </row>
    <row r="115" spans="1:13" ht="20">
      <c r="A115" s="3"/>
      <c r="B115" s="72" t="str">
        <f>'Chem&amp;FertInputs&amp;CInsurance'!B73</f>
        <v>Crop Insurance</v>
      </c>
      <c r="C115" s="16" t="str">
        <f>'Chem&amp;FertInputs&amp;CInsurance'!D73</f>
        <v>acre</v>
      </c>
      <c r="D115" s="100">
        <f>'Chem&amp;FertInputs&amp;CInsurance'!AA73</f>
        <v>18</v>
      </c>
      <c r="E115" s="74">
        <v>1</v>
      </c>
      <c r="F115" s="101">
        <f>IF(D115*E115=0,"0",D115*E115)</f>
        <v>18</v>
      </c>
      <c r="H115" t="s">
        <v>181</v>
      </c>
      <c r="I115" t="s">
        <v>181</v>
      </c>
    </row>
    <row r="116" spans="1:13" ht="20">
      <c r="A116" s="3"/>
      <c r="B116" s="72" t="s">
        <v>72</v>
      </c>
      <c r="C116" s="32" t="s">
        <v>83</v>
      </c>
      <c r="D116" s="95">
        <f>MachineAssumptions!D25</f>
        <v>0.05</v>
      </c>
      <c r="E116" s="74"/>
      <c r="F116" s="73">
        <f>SUM(F8:F115)*D116</f>
        <v>9.8033622921110339</v>
      </c>
      <c r="G116" t="s">
        <v>111</v>
      </c>
      <c r="H116" s="40">
        <f>(SUM($F8:$F70)+$F115+SUM(H72:H113))*$D116</f>
        <v>9.8038463616116616</v>
      </c>
      <c r="I116" s="40">
        <f>(SUM($F8:$F70)+$F115+SUM(I72:I113))*$D116</f>
        <v>9.665549389584621</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10.422199536800544</v>
      </c>
      <c r="G117" t="s">
        <v>4</v>
      </c>
      <c r="H117" s="40">
        <f>(SUM(F8:F70)+(F115+F116+H114))*((D117/12)*MachineAssumptions!D27)</f>
        <v>10.422689657169929</v>
      </c>
      <c r="I117" s="40">
        <f>(SUM(F8:F70)+(F115+F116+I114))*((D117/12)*MachineAssumptions!D27)</f>
        <v>10.28266397299255</v>
      </c>
      <c r="J117" s="40">
        <f>F73+F76+F79+F82+F85+F88+F91+F94+F97+F100+F103+F106+F109+F112</f>
        <v>36.116622527605394</v>
      </c>
      <c r="K117" t="s">
        <v>4</v>
      </c>
    </row>
    <row r="118" spans="1:13" ht="20">
      <c r="A118" s="3"/>
      <c r="B118" s="9" t="s">
        <v>85</v>
      </c>
      <c r="C118" s="22"/>
      <c r="D118" s="124"/>
      <c r="E118" s="125"/>
      <c r="F118" s="126">
        <f>SUM(F8:F117)</f>
        <v>216.29280767113227</v>
      </c>
      <c r="G118" t="s">
        <v>112</v>
      </c>
      <c r="J118" s="40">
        <f>F74+F77+F80+F83+F86+F89+F92+F95+F98+F101+F104+F107+F110+F113</f>
        <v>17.314504914406395</v>
      </c>
      <c r="K118" t="s">
        <v>112</v>
      </c>
      <c r="L118" s="40">
        <f>H74+H77+H80+H83+H86+H89+H92+H95+H98+H101+H104+H107+H110+H113</f>
        <v>17.324186304418976</v>
      </c>
      <c r="M118" s="40">
        <f>I74+I77+I80+I83+I86+I89+I92+I95+I98+I101+I104+I107+I110+I113</f>
        <v>14.558246863878125</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1.6180237561339832</v>
      </c>
      <c r="I131" s="147">
        <f>MachineAssumptions!U58*E131</f>
        <v>1.6182663245049702</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23.23173374584713</v>
      </c>
      <c r="I135" s="37">
        <f t="shared" si="18"/>
        <v>23.231976314218116</v>
      </c>
    </row>
    <row r="136" spans="1:9" ht="20">
      <c r="A136" s="3"/>
      <c r="B136" s="5"/>
      <c r="C136" s="5"/>
      <c r="D136" s="10"/>
      <c r="E136" s="5"/>
      <c r="F136" s="97"/>
    </row>
    <row r="137" spans="1:9" ht="20">
      <c r="A137" s="3"/>
      <c r="B137" s="9" t="s">
        <v>31</v>
      </c>
      <c r="C137" s="22"/>
      <c r="D137" s="23"/>
      <c r="E137" s="22"/>
      <c r="F137" s="38">
        <f>F118+F135</f>
        <v>239.52478398535038</v>
      </c>
      <c r="H137" s="38">
        <f>SUM(F16:F70)+H114+F115+H116+H117+H135+F8+(H9*D9)+(H10*D10)+(H11*D11)+(H12*D12)+(H13*D13)+(H14*D14)+(H15*D15)</f>
        <v>239.53519699686197</v>
      </c>
      <c r="I137" s="38">
        <f>SUM(F16:F70)+I114+F115+I116+I117+I135+F8+(I9*D9)+(I10*D10)+(I11*D11)+(I12*D12)+(I13*D13)+(I14*D14)+(I15*D15)</f>
        <v>236.49117746848768</v>
      </c>
    </row>
    <row r="138" spans="1:9" ht="21">
      <c r="A138" s="3"/>
      <c r="B138" s="24" t="s">
        <v>32</v>
      </c>
      <c r="C138" s="25"/>
      <c r="D138" s="26"/>
      <c r="E138" s="25"/>
      <c r="F138" s="39">
        <f>F5-F137</f>
        <v>0.47521601464961805</v>
      </c>
      <c r="H138" s="215">
        <f>H5-H137</f>
        <v>0.46480300313803014</v>
      </c>
      <c r="I138" s="215">
        <f>I5-I137</f>
        <v>3.5088225315123225</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B667-E12B-4947-9A7A-6578957B56EE}">
  <sheetPr codeName="Sheet47">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4" width="0" hidden="1" customWidth="1"/>
  </cols>
  <sheetData>
    <row r="1" spans="1:36" ht="20">
      <c r="A1" s="302" t="s">
        <v>8</v>
      </c>
      <c r="B1" s="20"/>
      <c r="C1" s="5"/>
      <c r="D1" s="10"/>
      <c r="E1" s="5"/>
      <c r="F1" s="5"/>
    </row>
    <row r="2" spans="1:36" ht="20">
      <c r="A2" s="3"/>
      <c r="B2" s="709" t="str">
        <f>'Prices_Yields&amp;SeedInputs'!B27&amp;", Cash Costs and Returns of Producing, $/acre."</f>
        <v>Winter Canola,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'Prices_Yields&amp;SeedInputs'!B27</f>
        <v>Winter Canola</v>
      </c>
      <c r="C4" s="15" t="str">
        <f>'Prices_Yields&amp;SeedInputs'!C27</f>
        <v>lb</v>
      </c>
      <c r="D4" s="10">
        <f>'Prices_Yields&amp;SeedInputs'!D27</f>
        <v>0.15</v>
      </c>
      <c r="E4" s="77">
        <f>'Prices_Yields&amp;SeedInputs'!E27</f>
        <v>2000</v>
      </c>
      <c r="F4" s="28">
        <f>D4*E4</f>
        <v>300</v>
      </c>
      <c r="AI4" s="579"/>
      <c r="AJ4" s="579"/>
    </row>
    <row r="5" spans="1:36" ht="20">
      <c r="A5" s="3"/>
      <c r="B5" s="9" t="s">
        <v>14</v>
      </c>
      <c r="C5" s="22"/>
      <c r="D5" s="23"/>
      <c r="E5" s="22"/>
      <c r="F5" s="37">
        <f>SUM(F4:F4)</f>
        <v>300</v>
      </c>
      <c r="H5">
        <f>D4*'Prices_Yields&amp;SeedInputs'!F27</f>
        <v>300</v>
      </c>
      <c r="I5">
        <f>D4*'Prices_Yields&amp;SeedInputs'!G27</f>
        <v>300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2" t="s">
        <v>169</v>
      </c>
      <c r="C8" s="103" t="str">
        <f>'Prices_Yields&amp;SeedInputs'!H27</f>
        <v>pound</v>
      </c>
      <c r="D8" s="73">
        <f>'Prices_Yields&amp;SeedInputs'!I27</f>
        <v>11.5</v>
      </c>
      <c r="E8" s="116">
        <f>'Prices_Yields&amp;SeedInputs'!J27</f>
        <v>5</v>
      </c>
      <c r="F8" s="101">
        <f t="shared" ref="F8:F61" si="0">IF(D8*E8=0,"0",D8*E8)</f>
        <v>57.5</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'Chem&amp;FertInputs&amp;CInsurance'!AB6</f>
        <v>90</v>
      </c>
      <c r="F9" s="101">
        <f t="shared" si="0"/>
        <v>43.875</v>
      </c>
      <c r="H9">
        <f>'Chem&amp;FertInputs&amp;CInsurance'!AB7</f>
        <v>90</v>
      </c>
      <c r="I9">
        <f>'Chem&amp;FertInputs&amp;CInsurance'!AB8</f>
        <v>90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'Chem&amp;FertInputs&amp;CInsurance'!AB9</f>
        <v>0</v>
      </c>
      <c r="F10" s="101" t="str">
        <f t="shared" si="0"/>
        <v>0</v>
      </c>
      <c r="H10">
        <f>'Chem&amp;FertInputs&amp;CInsurance'!AB10</f>
        <v>0</v>
      </c>
      <c r="I10">
        <f>'Chem&amp;FertInputs&amp;CInsurance'!AB11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'Chem&amp;FertInputs&amp;CInsurance'!AB12</f>
        <v>8</v>
      </c>
      <c r="F11" s="101">
        <f t="shared" si="0"/>
        <v>3.8</v>
      </c>
      <c r="H11">
        <f>'Chem&amp;FertInputs&amp;CInsurance'!AB13</f>
        <v>8</v>
      </c>
      <c r="I11">
        <f>'Chem&amp;FertInputs&amp;CInsurance'!AB14</f>
        <v>8</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'Chem&amp;FertInputs&amp;CInsurance'!AB15</f>
        <v>0</v>
      </c>
      <c r="F12" s="101" t="str">
        <f t="shared" si="0"/>
        <v>0</v>
      </c>
      <c r="H12">
        <f>'Chem&amp;FertInputs&amp;CInsurance'!AB16</f>
        <v>0</v>
      </c>
      <c r="I12">
        <f>'Chem&amp;FertInputs&amp;CInsurance'!AB17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'Chem&amp;FertInputs&amp;CInsurance'!AB18</f>
        <v>17</v>
      </c>
      <c r="F13" s="101">
        <f t="shared" si="0"/>
        <v>4.3434999999999997</v>
      </c>
      <c r="H13">
        <f>'Chem&amp;FertInputs&amp;CInsurance'!AB19</f>
        <v>17</v>
      </c>
      <c r="I13">
        <f>'Chem&amp;FertInputs&amp;CInsurance'!AB20</f>
        <v>17</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'Chem&amp;FertInputs&amp;CInsurance'!AB21</f>
        <v>5.0999999999999996</v>
      </c>
      <c r="F14" s="101">
        <f>IF(D14*E14=0,"0",D14*E14)</f>
        <v>2.448</v>
      </c>
      <c r="G14" s="146">
        <f>E14/128</f>
        <v>3.9843749999999997E-2</v>
      </c>
      <c r="H14">
        <f>'Chem&amp;FertInputs&amp;CInsurance'!AB22</f>
        <v>5.0999999999999996</v>
      </c>
      <c r="I14">
        <f>'Chem&amp;FertInputs&amp;CInsurance'!AB23</f>
        <v>5.0999999999999996</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'Chem&amp;FertInputs&amp;CInsurance'!AB24</f>
        <v>0</v>
      </c>
      <c r="F15" s="101" t="str">
        <f t="shared" ref="F15:F16" si="1">IF(D15*E15=0,"0",D15*E15)</f>
        <v>0</v>
      </c>
      <c r="G15" s="146">
        <f>E15/16</f>
        <v>0</v>
      </c>
      <c r="H15">
        <f>'Chem&amp;FertInputs&amp;CInsurance'!AB25</f>
        <v>0</v>
      </c>
      <c r="I15">
        <f>'Chem&amp;FertInputs&amp;CInsurance'!AB26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'Chem&amp;FertInputs&amp;CInsurance'!AB27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'Chem&amp;FertInputs&amp;CInsurance'!AB28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'Chem&amp;FertInputs&amp;CInsurance'!AB29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'Chem&amp;FertInputs&amp;CInsurance'!AB30</f>
        <v>4.5</v>
      </c>
      <c r="F19" s="101">
        <f>IF(D19*E19=0,"0",D19*E19)</f>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'Chem&amp;FertInputs&amp;CInsurance'!AB31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'Chem&amp;FertInputs&amp;CInsurance'!AB33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'Chem&amp;FertInputs&amp;CInsurance'!AB34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'Chem&amp;FertInputs&amp;CInsurance'!AB35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'Chem&amp;FertInputs&amp;CInsurance'!AB36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'Chem&amp;FertInputs&amp;CInsurance'!AB37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'Chem&amp;FertInputs&amp;CInsurance'!AB38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'Chem&amp;FertInputs&amp;CInsurance'!AB39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'Chem&amp;FertInputs&amp;CInsurance'!AB40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'Chem&amp;FertInputs&amp;CInsurance'!AB41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'Chem&amp;FertInputs&amp;CInsurance'!AB42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'Chem&amp;FertInputs&amp;CInsurance'!AB43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'Chem&amp;FertInputs&amp;CInsurance'!AB44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'Chem&amp;FertInputs&amp;CInsurance'!AB45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'Chem&amp;FertInputs&amp;CInsurance'!AB46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'Chem&amp;FertInputs&amp;CInsurance'!AB47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'Chem&amp;FertInputs&amp;CInsurance'!AB48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'Chem&amp;FertInputs&amp;CInsurance'!AB49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'Chem&amp;FertInputs&amp;CInsurance'!AB50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'Chem&amp;FertInputs&amp;CInsurance'!AB51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'Chem&amp;FertInputs&amp;CInsurance'!AB52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'Chem&amp;FertInputs&amp;CInsurance'!AB53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'Chem&amp;FertInputs&amp;CInsurance'!AB54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'Chem&amp;FertInputs&amp;CInsurance'!AB55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'Chem&amp;FertInputs&amp;CInsurance'!AB56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'Chem&amp;FertInputs&amp;CInsurance'!AB57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'Chem&amp;FertInputs&amp;CInsurance'!AB58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'Chem&amp;FertInputs&amp;CInsurance'!AB59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'Chem&amp;FertInputs&amp;CInsurance'!AB60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'Chem&amp;FertInputs&amp;CInsurance'!AB61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'Chem&amp;FertInputs&amp;CInsurance'!AB62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'Chem&amp;FertInputs&amp;CInsurance'!AB63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'Chem&amp;FertInputs&amp;CInsurance'!AB64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'Chem&amp;FertInputs&amp;CInsurance'!AB65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'Chem&amp;FertInputs&amp;CInsurance'!AB66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'Chem&amp;FertInputs&amp;CInsurance'!AB67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'Chem&amp;FertInputs&amp;CInsurance'!AB68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'Chem&amp;FertInputs&amp;CInsurance'!AB69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'Chem&amp;FertInputs&amp;CInsurance'!AB70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'Chem&amp;FertInputs&amp;CInsurance'!AB71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'Chem&amp;FertInputs&amp;CInsurance'!AB72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'Chem&amp;FertInputs&amp;CInsurance'!AB32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CustomRates!Z5</f>
        <v>8.9499999999999993</v>
      </c>
      <c r="E63" s="74">
        <f>CustomRates!Z6</f>
        <v>2</v>
      </c>
      <c r="F63" s="101">
        <f t="shared" ref="F63:F70" si="11">IF(D63*E63=0,"0",D63*E63)</f>
        <v>17.899999999999999</v>
      </c>
    </row>
    <row r="64" spans="1:7" ht="20">
      <c r="A64" s="3"/>
      <c r="B64" s="108" t="str">
        <f>CustomRates!B7</f>
        <v>Sprayer (Rental 90')</v>
      </c>
      <c r="C64" s="32" t="str">
        <f>CustomRates!C7</f>
        <v>acre</v>
      </c>
      <c r="D64" s="100">
        <f>CustomRates!Z7</f>
        <v>8</v>
      </c>
      <c r="E64" s="74">
        <f>CustomRates!Z8</f>
        <v>0</v>
      </c>
      <c r="F64" s="101" t="str">
        <f t="shared" si="11"/>
        <v>0</v>
      </c>
    </row>
    <row r="65" spans="1:9" ht="20">
      <c r="A65" s="3"/>
      <c r="B65" s="108" t="str">
        <f>CustomRates!B9</f>
        <v>Fertilizer - Anhydrous Applicator (Rent)</v>
      </c>
      <c r="C65" s="32" t="str">
        <f>CustomRates!C9</f>
        <v>acre</v>
      </c>
      <c r="D65" s="100">
        <f>CustomRates!Z9</f>
        <v>7</v>
      </c>
      <c r="E65" s="74">
        <f>CustomRates!Z10</f>
        <v>0</v>
      </c>
      <c r="F65" s="101" t="str">
        <f t="shared" si="11"/>
        <v>0</v>
      </c>
    </row>
    <row r="66" spans="1:9" ht="20">
      <c r="A66" s="3"/>
      <c r="B66" s="108" t="str">
        <f>CustomRates!B11</f>
        <v>Fertilizer Applicator</v>
      </c>
      <c r="C66" s="32" t="str">
        <f>CustomRates!C11</f>
        <v>acre</v>
      </c>
      <c r="D66" s="100">
        <f>CustomRates!Z11</f>
        <v>22</v>
      </c>
      <c r="E66" s="74">
        <f>CustomRates!Z12</f>
        <v>0</v>
      </c>
      <c r="F66" s="101" t="str">
        <f t="shared" si="11"/>
        <v>0</v>
      </c>
    </row>
    <row r="67" spans="1:9" ht="20">
      <c r="A67" s="3"/>
      <c r="B67" s="108" t="str">
        <f>CustomRates!B13</f>
        <v>26' Rental Shredder</v>
      </c>
      <c r="C67" s="32" t="str">
        <f>CustomRates!C13</f>
        <v>acre</v>
      </c>
      <c r="D67" s="100">
        <f>CustomRates!Z13</f>
        <v>10</v>
      </c>
      <c r="E67" s="74">
        <f>CustomRates!Z14</f>
        <v>0</v>
      </c>
      <c r="F67" s="101" t="str">
        <f t="shared" si="11"/>
        <v>0</v>
      </c>
    </row>
    <row r="68" spans="1:9" ht="20">
      <c r="A68" s="3"/>
      <c r="B68" s="108" t="str">
        <f>CustomRates!B15</f>
        <v>36' Ripper Shooter</v>
      </c>
      <c r="C68" s="32" t="str">
        <f>CustomRates!C15</f>
        <v>acre</v>
      </c>
      <c r="D68" s="100">
        <f>CustomRates!Z15</f>
        <v>2.5</v>
      </c>
      <c r="E68" s="74">
        <f>CustomRates!Z16</f>
        <v>0</v>
      </c>
      <c r="F68" s="101" t="str">
        <f t="shared" si="11"/>
        <v>0</v>
      </c>
    </row>
    <row r="69" spans="1:9" ht="20">
      <c r="A69" s="3"/>
      <c r="B69" s="108" t="str">
        <f>CustomRates!B17</f>
        <v>Custom self-propelled sprayer</v>
      </c>
      <c r="C69" s="32" t="str">
        <f>CustomRates!C17</f>
        <v>acre</v>
      </c>
      <c r="D69" s="100">
        <f>CustomRates!Z17</f>
        <v>8</v>
      </c>
      <c r="E69" s="74">
        <f>CustomRates!Z18</f>
        <v>0</v>
      </c>
      <c r="F69" s="101" t="str">
        <f t="shared" si="11"/>
        <v>0</v>
      </c>
    </row>
    <row r="70" spans="1:9" ht="20">
      <c r="A70" s="3"/>
      <c r="B70" s="108" t="str">
        <f>CustomRates!B19</f>
        <v>Additional Operation #8 (Custom)</v>
      </c>
      <c r="C70" s="32" t="str">
        <f>CustomRates!C19</f>
        <v>acre</v>
      </c>
      <c r="D70" s="100">
        <f>CustomRates!Z19</f>
        <v>0</v>
      </c>
      <c r="E70" s="74">
        <f>CustomRates!Z20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FieldApplications!$Y$6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FieldApplications!$Y$6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FieldApplications!$Y$6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FieldApplications!$Y$7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FieldApplications!$Y$7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FieldApplications!$Y$7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FieldApplications!$Y$8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FieldApplications!$Y$8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FieldApplications!$Y$8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FieldApplications!$Y$9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FieldApplications!$Y$9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FieldApplications!$Y$9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FieldApplications!$Y$10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FieldApplications!$Y$10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FieldApplications!$Y$10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FieldApplications!$Y$11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FieldApplications!$Y$11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FieldApplications!$Y$11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FieldApplications!$Y$12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FieldApplications!$Y$12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FieldApplications!$Y$12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FieldApplications!$Y$13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FieldApplications!$Y$13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FieldApplications!$Y$13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FieldApplications!$Y$14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FieldApplications!$Y$14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FieldApplications!$Y$14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FieldApplications!$Y$15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FieldApplications!$Y$15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FieldApplications!$Y$15</f>
        <v>1</v>
      </c>
      <c r="F101" s="101">
        <f t="shared" si="12"/>
        <v>2.0464550709711982</v>
      </c>
      <c r="H101" s="211">
        <f>MachineAssumptions!$T$37*E101</f>
        <v>2.0464550709711982</v>
      </c>
      <c r="I101" s="147">
        <f>MachineAssumptions!$T$57*E101</f>
        <v>1.8387878538389493</v>
      </c>
    </row>
    <row r="102" spans="1:9" ht="20">
      <c r="A102" s="3"/>
      <c r="B102" s="72" t="str">
        <f>MachineAssumptions!B18&amp;" - Labor"</f>
        <v>Boom sprayer - Labor</v>
      </c>
      <c r="C102" s="32" t="s">
        <v>245</v>
      </c>
      <c r="D102" s="100">
        <f>MachineAssumptions!$R$18</f>
        <v>0.4708120318630365</v>
      </c>
      <c r="E102" s="74">
        <f>FieldApplications!$Y$16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FieldApplications!$Y$16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FieldApplications!$Y$16</f>
        <v>3</v>
      </c>
      <c r="F104" s="101">
        <f t="shared" si="12"/>
        <v>1.493878471896593</v>
      </c>
      <c r="H104" s="211">
        <f>MachineAssumptions!$T$38*E104</f>
        <v>1.5084005569154613</v>
      </c>
      <c r="I104" s="147">
        <f>MachineAssumptions!$T$58*E104</f>
        <v>1.3532484858048683</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71.878318905209738</v>
      </c>
      <c r="I114" s="214">
        <f>SUM(I74:I113)</f>
        <v>69.060662107632027</v>
      </c>
    </row>
    <row r="115" spans="1:13" ht="20">
      <c r="A115" s="3"/>
      <c r="B115" s="72" t="str">
        <f>'Chem&amp;FertInputs&amp;CInsurance'!B73</f>
        <v>Crop Insurance</v>
      </c>
      <c r="C115" s="16" t="str">
        <f>'Chem&amp;FertInputs&amp;CInsurance'!D73</f>
        <v>acre</v>
      </c>
      <c r="D115" s="100">
        <f>'Chem&amp;FertInputs&amp;CInsurance'!AB73</f>
        <v>18</v>
      </c>
      <c r="E115" s="74">
        <v>1</v>
      </c>
      <c r="F115" s="101">
        <f>IF(D115*E115=0,"0",D115*E115)</f>
        <v>18</v>
      </c>
      <c r="H115" t="s">
        <v>181</v>
      </c>
      <c r="I115" t="s">
        <v>181</v>
      </c>
    </row>
    <row r="116" spans="1:13" ht="20">
      <c r="A116" s="3"/>
      <c r="B116" s="72" t="s">
        <v>72</v>
      </c>
      <c r="C116" s="32" t="s">
        <v>83</v>
      </c>
      <c r="D116" s="95">
        <f>MachineAssumptions!D25</f>
        <v>0.05</v>
      </c>
      <c r="E116" s="74"/>
      <c r="F116" s="73">
        <f>SUM(F8:F115)*D116</f>
        <v>12.332302341009544</v>
      </c>
      <c r="G116" t="s">
        <v>111</v>
      </c>
      <c r="H116" s="40">
        <f>(SUM($F8:$F70)+$F115+SUM(H72:H113))*$D116</f>
        <v>12.333028445260489</v>
      </c>
      <c r="I116" s="40">
        <f>(SUM($F8:$F70)+$F115+SUM(I72:I113))*$D116</f>
        <v>12.192145605381603</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13.110778926285771</v>
      </c>
      <c r="G117" t="s">
        <v>4</v>
      </c>
      <c r="H117" s="40">
        <f>(SUM(F8:F70)+(F115+F116+H114))*((D117/12)*MachineAssumptions!D27)</f>
        <v>13.111514106839852</v>
      </c>
      <c r="I117" s="40">
        <f>(SUM(F8:F70)+(F115+F116+I114))*((D117/12)*MachineAssumptions!D27)</f>
        <v>12.96887023146248</v>
      </c>
      <c r="J117" s="40">
        <f>F73+F76+F79+F82+F85+F88+F91+F94+F97+F100+F103+F106+F109+F112</f>
        <v>37.921401983080372</v>
      </c>
      <c r="K117" t="s">
        <v>4</v>
      </c>
    </row>
    <row r="118" spans="1:13" ht="20">
      <c r="A118" s="3"/>
      <c r="B118" s="9" t="s">
        <v>85</v>
      </c>
      <c r="C118" s="22"/>
      <c r="D118" s="124"/>
      <c r="E118" s="125"/>
      <c r="F118" s="126">
        <f>SUM(F8:F117)</f>
        <v>272.08912808748619</v>
      </c>
      <c r="G118" t="s">
        <v>112</v>
      </c>
      <c r="J118" s="40">
        <f>F74+F77+F80+F83+F86+F89+F92+F95+F98+F101+F104+F107+F110+F113</f>
        <v>17.812464405038593</v>
      </c>
      <c r="K118" t="s">
        <v>112</v>
      </c>
      <c r="L118" s="40">
        <f>H74+H77+H80+H83+H86+H89+H92+H95+H98+H101+H104+H107+H110+H113</f>
        <v>17.826986490057461</v>
      </c>
      <c r="M118" s="40">
        <f>I74+I77+I80+I83+I86+I89+I92+I95+I98+I101+I104+I107+I110+I113</f>
        <v>15.009329692479749</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0.44244</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2.4270356342009749</v>
      </c>
      <c r="I131" s="147">
        <f>MachineAssumptions!U58*E131</f>
        <v>2.4273994867574551</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2.9461434675395459</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24.040745623914123</v>
      </c>
      <c r="I135" s="37">
        <f t="shared" si="18"/>
        <v>24.041109476470602</v>
      </c>
    </row>
    <row r="136" spans="1:9" ht="20">
      <c r="A136" s="3"/>
      <c r="B136" s="5"/>
      <c r="C136" s="5"/>
      <c r="D136" s="10"/>
      <c r="E136" s="5"/>
      <c r="F136" s="97"/>
    </row>
    <row r="137" spans="1:9" ht="20">
      <c r="A137" s="3"/>
      <c r="B137" s="9" t="s">
        <v>31</v>
      </c>
      <c r="C137" s="22"/>
      <c r="D137" s="23"/>
      <c r="E137" s="22"/>
      <c r="F137" s="38">
        <f>F118+F135</f>
        <v>296.13023756395677</v>
      </c>
      <c r="H137" s="38">
        <f>SUM(F16:F70)+H114+F115+H116+H117+H135+F8+(H9*D9)+(H10*D10)+(H11*D11)+(H12*D12)+(H13*D13)+(H14*D14)+(H15*D15)</f>
        <v>296.14585708122422</v>
      </c>
      <c r="I137" s="38">
        <f>SUM(F16:F70)+I114+F115+I116+I117+I135+F8+(I9*D9)+(I10*D10)+(I11*D11)+(I12*D12)+(I13*D13)+(I14*D14)+(I15*D15)</f>
        <v>293.0450374209467</v>
      </c>
    </row>
    <row r="138" spans="1:9" ht="21">
      <c r="A138" s="3"/>
      <c r="B138" s="24" t="s">
        <v>32</v>
      </c>
      <c r="C138" s="25"/>
      <c r="D138" s="26"/>
      <c r="E138" s="25"/>
      <c r="F138" s="39">
        <f>F5-F137</f>
        <v>3.8697624360432314</v>
      </c>
      <c r="H138" s="215">
        <f>F5-H137</f>
        <v>3.8541429187757785</v>
      </c>
      <c r="I138" s="215">
        <f>F5-I137</f>
        <v>6.9549625790533014</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6B89-F4BE-A546-9828-57F327F2CF12}">
  <sheetPr codeName="Sheet9">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34" width="11.5" hidden="1" customWidth="1"/>
    <col min="35" max="40" width="11.5" customWidth="1"/>
  </cols>
  <sheetData>
    <row r="1" spans="1:36" ht="20">
      <c r="A1" s="302" t="s">
        <v>8</v>
      </c>
      <c r="B1" s="20"/>
      <c r="C1" s="5"/>
      <c r="D1" s="10"/>
      <c r="E1" s="5"/>
      <c r="F1" s="5"/>
    </row>
    <row r="2" spans="1:36" ht="20">
      <c r="A2" s="3"/>
      <c r="B2" s="709" t="str">
        <f>'Prices_Yields&amp;SeedInputs'!B28&amp;", Cash Costs and Returns of Producing, $/acre."</f>
        <v>Forage Crop-Soil Builder Blend,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'Prices_Yields&amp;SeedInputs'!B28</f>
        <v>Forage Crop-Soil Builder Blend</v>
      </c>
      <c r="C4" s="15" t="str">
        <f>'Prices_Yields&amp;SeedInputs'!C28</f>
        <v>acre</v>
      </c>
      <c r="D4" s="10">
        <f>'Prices_Yields&amp;SeedInputs'!D28</f>
        <v>0</v>
      </c>
      <c r="E4" s="77">
        <f>'Prices_Yields&amp;SeedInputs'!E28</f>
        <v>0</v>
      </c>
      <c r="F4" s="28">
        <f>D4*E4</f>
        <v>0</v>
      </c>
      <c r="AI4" s="579"/>
      <c r="AJ4" s="579"/>
    </row>
    <row r="5" spans="1:36" ht="20">
      <c r="A5" s="3"/>
      <c r="B5" s="9" t="s">
        <v>14</v>
      </c>
      <c r="C5" s="22"/>
      <c r="D5" s="23"/>
      <c r="E5" s="22"/>
      <c r="F5" s="37">
        <f>SUM(F4:F4)</f>
        <v>0</v>
      </c>
      <c r="H5" s="59">
        <f>D4*'Prices_Yields&amp;SeedInputs'!F28</f>
        <v>0</v>
      </c>
      <c r="I5" s="59">
        <f>D4*'Prices_Yields&amp;SeedInputs'!G28</f>
        <v>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6" t="s">
        <v>169</v>
      </c>
      <c r="C8" s="117" t="str">
        <f>'Prices_Yields&amp;SeedInputs'!H28</f>
        <v>pound</v>
      </c>
      <c r="D8" s="76">
        <f>'Prices_Yields&amp;SeedInputs'!I28</f>
        <v>0.44</v>
      </c>
      <c r="E8" s="77">
        <f>'Prices_Yields&amp;SeedInputs'!J28</f>
        <v>50</v>
      </c>
      <c r="F8" s="101">
        <f t="shared" ref="F8:F61" si="0">IF(D8*E8=0,"0",D8*E8)</f>
        <v>22</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'Chem&amp;FertInputs&amp;CInsurance'!AC6</f>
        <v>0</v>
      </c>
      <c r="F9" s="101" t="str">
        <f t="shared" si="0"/>
        <v>0</v>
      </c>
      <c r="H9">
        <f>'Chem&amp;FertInputs&amp;CInsurance'!AC7</f>
        <v>0</v>
      </c>
      <c r="I9">
        <f>'Chem&amp;FertInputs&amp;CInsurance'!AC8</f>
        <v>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'Chem&amp;FertInputs&amp;CInsurance'!AC9</f>
        <v>0</v>
      </c>
      <c r="F10" s="101" t="str">
        <f t="shared" si="0"/>
        <v>0</v>
      </c>
      <c r="H10">
        <f>'Chem&amp;FertInputs&amp;CInsurance'!AC10</f>
        <v>0</v>
      </c>
      <c r="I10">
        <f>'Chem&amp;FertInputs&amp;CInsurance'!AC11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'Chem&amp;FertInputs&amp;CInsurance'!AC12</f>
        <v>0</v>
      </c>
      <c r="F11" s="101" t="str">
        <f t="shared" si="0"/>
        <v>0</v>
      </c>
      <c r="H11">
        <f>'Chem&amp;FertInputs&amp;CInsurance'!AC13</f>
        <v>0</v>
      </c>
      <c r="I11">
        <f>'Chem&amp;FertInputs&amp;CInsurance'!AC14</f>
        <v>0</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'Chem&amp;FertInputs&amp;CInsurance'!AC15</f>
        <v>0</v>
      </c>
      <c r="F12" s="101" t="str">
        <f t="shared" si="0"/>
        <v>0</v>
      </c>
      <c r="H12">
        <f>'Chem&amp;FertInputs&amp;CInsurance'!AC16</f>
        <v>0</v>
      </c>
      <c r="I12">
        <f>'Chem&amp;FertInputs&amp;CInsurance'!AC17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'Chem&amp;FertInputs&amp;CInsurance'!AC18</f>
        <v>0</v>
      </c>
      <c r="F13" s="101" t="str">
        <f t="shared" si="0"/>
        <v>0</v>
      </c>
      <c r="H13">
        <f>'Chem&amp;FertInputs&amp;CInsurance'!AC19</f>
        <v>0</v>
      </c>
      <c r="I13">
        <f>'Chem&amp;FertInputs&amp;CInsurance'!AC20</f>
        <v>0</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'Chem&amp;FertInputs&amp;CInsurance'!AC21</f>
        <v>0</v>
      </c>
      <c r="F14" s="101" t="str">
        <f>IF(D14*E14=0,"0",D14*E14)</f>
        <v>0</v>
      </c>
      <c r="G14" s="146">
        <f>E14/128</f>
        <v>0</v>
      </c>
      <c r="H14">
        <f>'Chem&amp;FertInputs&amp;CInsurance'!AC22</f>
        <v>0</v>
      </c>
      <c r="I14">
        <f>'Chem&amp;FertInputs&amp;CInsurance'!AC23</f>
        <v>0</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'Chem&amp;FertInputs&amp;CInsurance'!AC24</f>
        <v>0</v>
      </c>
      <c r="F15" s="101" t="str">
        <f t="shared" ref="F15:F16" si="1">IF(D15*E15=0,"0",D15*E15)</f>
        <v>0</v>
      </c>
      <c r="G15" s="146">
        <f>E15/16</f>
        <v>0</v>
      </c>
      <c r="H15">
        <f>'Chem&amp;FertInputs&amp;CInsurance'!AC25</f>
        <v>0</v>
      </c>
      <c r="I15">
        <f>'Chem&amp;FertInputs&amp;CInsurance'!AC26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'Chem&amp;FertInputs&amp;CInsurance'!AC27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'Chem&amp;FertInputs&amp;CInsurance'!AC28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'Chem&amp;FertInputs&amp;CInsurance'!AC29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'Chem&amp;FertInputs&amp;CInsurance'!AC30</f>
        <v>6.4</v>
      </c>
      <c r="F19" s="101">
        <f>IF(D19*E19=0,"0",D19*E19)</f>
        <v>1.6928000000000001</v>
      </c>
      <c r="G19" s="146">
        <f>E19/128</f>
        <v>0.05</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'Chem&amp;FertInputs&amp;CInsurance'!AC31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'Chem&amp;FertInputs&amp;CInsurance'!AC33</f>
        <v>24</v>
      </c>
      <c r="F21" s="101">
        <f t="shared" si="0"/>
        <v>8.0039999999999996</v>
      </c>
      <c r="G21" s="146">
        <f t="shared" ref="G21:G30" si="2">E21/128</f>
        <v>0.1875</v>
      </c>
    </row>
    <row r="22" spans="1:7" ht="20">
      <c r="A22" s="3"/>
      <c r="B22" s="72" t="str">
        <f>'Chem&amp;FertInputs&amp;CInsurance'!C34</f>
        <v>Achieve SC</v>
      </c>
      <c r="C22" s="16" t="str">
        <f>'Chem&amp;FertInputs&amp;CInsurance'!D34</f>
        <v>oz</v>
      </c>
      <c r="D22" s="100">
        <f>'Chem&amp;FertInputs&amp;CInsurance'!E34</f>
        <v>1.3454999999999999</v>
      </c>
      <c r="E22" s="116">
        <f>'Chem&amp;FertInputs&amp;CInsurance'!AC34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'Chem&amp;FertInputs&amp;CInsurance'!AC35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'Chem&amp;FertInputs&amp;CInsurance'!AC36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'Chem&amp;FertInputs&amp;CInsurance'!AC37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'Chem&amp;FertInputs&amp;CInsurance'!AC38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'Chem&amp;FertInputs&amp;CInsurance'!AC39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'Chem&amp;FertInputs&amp;CInsurance'!AC40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'Chem&amp;FertInputs&amp;CInsurance'!AC41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'Chem&amp;FertInputs&amp;CInsurance'!AC42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'Chem&amp;FertInputs&amp;CInsurance'!AC43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'Chem&amp;FertInputs&amp;CInsurance'!AC44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'Chem&amp;FertInputs&amp;CInsurance'!AC45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'Chem&amp;FertInputs&amp;CInsurance'!AC46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'Chem&amp;FertInputs&amp;CInsurance'!AC47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'Chem&amp;FertInputs&amp;CInsurance'!AC48</f>
        <v>24</v>
      </c>
      <c r="F36" s="101">
        <f t="shared" si="0"/>
        <v>3.5880000000000001</v>
      </c>
      <c r="G36" s="146">
        <f t="shared" si="4"/>
        <v>0.1875</v>
      </c>
    </row>
    <row r="37" spans="1:7" ht="20">
      <c r="A37" s="3"/>
      <c r="B37" s="72" t="str">
        <f>'Chem&amp;FertInputs&amp;CInsurance'!C49</f>
        <v>Huskie</v>
      </c>
      <c r="C37" s="16" t="str">
        <f>'Chem&amp;FertInputs&amp;CInsurance'!D49</f>
        <v>oz</v>
      </c>
      <c r="D37" s="100">
        <f>'Chem&amp;FertInputs&amp;CInsurance'!E49</f>
        <v>0.88549999999999995</v>
      </c>
      <c r="E37" s="116">
        <f>'Chem&amp;FertInputs&amp;CInsurance'!AC49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'Chem&amp;FertInputs&amp;CInsurance'!AC50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'Chem&amp;FertInputs&amp;CInsurance'!AC51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'Chem&amp;FertInputs&amp;CInsurance'!AC52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'Chem&amp;FertInputs&amp;CInsurance'!AC53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'Chem&amp;FertInputs&amp;CInsurance'!AC54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'Chem&amp;FertInputs&amp;CInsurance'!AC55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'Chem&amp;FertInputs&amp;CInsurance'!AC56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'Chem&amp;FertInputs&amp;CInsurance'!AC57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'Chem&amp;FertInputs&amp;CInsurance'!AC58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'Chem&amp;FertInputs&amp;CInsurance'!AC59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'Chem&amp;FertInputs&amp;CInsurance'!AC60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'Chem&amp;FertInputs&amp;CInsurance'!AC61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'Chem&amp;FertInputs&amp;CInsurance'!AC62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'Chem&amp;FertInputs&amp;CInsurance'!AC63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'Chem&amp;FertInputs&amp;CInsurance'!AC64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'Chem&amp;FertInputs&amp;CInsurance'!AC65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'Chem&amp;FertInputs&amp;CInsurance'!AC66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'Chem&amp;FertInputs&amp;CInsurance'!AC67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'Chem&amp;FertInputs&amp;CInsurance'!AC68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'Chem&amp;FertInputs&amp;CInsurance'!AC69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'Chem&amp;FertInputs&amp;CInsurance'!AC70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'Chem&amp;FertInputs&amp;CInsurance'!AC71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'Chem&amp;FertInputs&amp;CInsurance'!AC72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'Chem&amp;FertInputs&amp;CInsurance'!AC32</f>
        <v>0</v>
      </c>
      <c r="F61" s="101" t="str">
        <f t="shared" si="0"/>
        <v>0</v>
      </c>
      <c r="G61" s="191">
        <f>E61/128</f>
        <v>0</v>
      </c>
    </row>
    <row r="62" spans="1:7" ht="20">
      <c r="A62" s="3"/>
      <c r="B62" s="122" t="s">
        <v>86</v>
      </c>
      <c r="C62" s="16"/>
      <c r="D62" s="100"/>
      <c r="E62" s="116"/>
      <c r="F62" s="101"/>
      <c r="G62" s="146">
        <f>SUM(G14:G61)</f>
        <v>0.42499999999999999</v>
      </c>
    </row>
    <row r="63" spans="1:7" ht="20">
      <c r="A63" s="3"/>
      <c r="B63" s="108" t="str">
        <f>CustomRates!B5</f>
        <v>Aerial (Custom)</v>
      </c>
      <c r="C63" s="32" t="str">
        <f>CustomRates!C5</f>
        <v>acre</v>
      </c>
      <c r="D63" s="100">
        <f>CustomRates!AA5</f>
        <v>8.9499999999999993</v>
      </c>
      <c r="E63" s="74">
        <f>CustomRates!AA6</f>
        <v>0</v>
      </c>
      <c r="F63" s="101" t="str">
        <f t="shared" ref="F63:F70" si="11">IF(D63*E63=0,"0",D63*E63)</f>
        <v>0</v>
      </c>
    </row>
    <row r="64" spans="1:7" ht="20">
      <c r="A64" s="3"/>
      <c r="B64" s="108" t="str">
        <f>CustomRates!B7</f>
        <v>Sprayer (Rental 90')</v>
      </c>
      <c r="C64" s="32" t="str">
        <f>CustomRates!C7</f>
        <v>acre</v>
      </c>
      <c r="D64" s="100">
        <f>CustomRates!AA7</f>
        <v>8</v>
      </c>
      <c r="E64" s="74">
        <f>CustomRates!AA8</f>
        <v>0</v>
      </c>
      <c r="F64" s="101" t="str">
        <f t="shared" si="11"/>
        <v>0</v>
      </c>
    </row>
    <row r="65" spans="1:9" ht="20">
      <c r="A65" s="3"/>
      <c r="B65" s="108" t="str">
        <f>CustomRates!B9</f>
        <v>Fertilizer - Anhydrous Applicator (Rent)</v>
      </c>
      <c r="C65" s="32" t="str">
        <f>CustomRates!C9</f>
        <v>acre</v>
      </c>
      <c r="D65" s="100">
        <f>CustomRates!AA9</f>
        <v>7</v>
      </c>
      <c r="E65" s="74">
        <f>CustomRates!AA10</f>
        <v>0</v>
      </c>
      <c r="F65" s="101" t="str">
        <f t="shared" si="11"/>
        <v>0</v>
      </c>
    </row>
    <row r="66" spans="1:9" ht="20">
      <c r="A66" s="3"/>
      <c r="B66" s="108" t="str">
        <f>CustomRates!B11</f>
        <v>Fertilizer Applicator</v>
      </c>
      <c r="C66" s="32" t="str">
        <f>CustomRates!C11</f>
        <v>acre</v>
      </c>
      <c r="D66" s="100">
        <f>CustomRates!AA11</f>
        <v>2</v>
      </c>
      <c r="E66" s="74">
        <f>CustomRates!AA12</f>
        <v>0</v>
      </c>
      <c r="F66" s="101" t="str">
        <f t="shared" si="11"/>
        <v>0</v>
      </c>
    </row>
    <row r="67" spans="1:9" ht="20">
      <c r="A67" s="3"/>
      <c r="B67" s="108" t="str">
        <f>CustomRates!B13</f>
        <v>26' Rental Shredder</v>
      </c>
      <c r="C67" s="32" t="str">
        <f>CustomRates!C13</f>
        <v>acre</v>
      </c>
      <c r="D67" s="100">
        <f>CustomRates!AA13</f>
        <v>10</v>
      </c>
      <c r="E67" s="74">
        <f>CustomRates!AA14</f>
        <v>0</v>
      </c>
      <c r="F67" s="101" t="str">
        <f t="shared" si="11"/>
        <v>0</v>
      </c>
    </row>
    <row r="68" spans="1:9" ht="20">
      <c r="A68" s="3"/>
      <c r="B68" s="108" t="str">
        <f>CustomRates!B15</f>
        <v>36' Ripper Shooter</v>
      </c>
      <c r="C68" s="32" t="str">
        <f>CustomRates!C15</f>
        <v>acre</v>
      </c>
      <c r="D68" s="100">
        <f>CustomRates!AA15</f>
        <v>2.5</v>
      </c>
      <c r="E68" s="74">
        <f>CustomRates!AA16</f>
        <v>0</v>
      </c>
      <c r="F68" s="101" t="str">
        <f t="shared" si="11"/>
        <v>0</v>
      </c>
    </row>
    <row r="69" spans="1:9" ht="20">
      <c r="A69" s="3"/>
      <c r="B69" s="108" t="str">
        <f>CustomRates!B17</f>
        <v>Custom self-propelled sprayer</v>
      </c>
      <c r="C69" s="32" t="str">
        <f>CustomRates!C17</f>
        <v>acre</v>
      </c>
      <c r="D69" s="100">
        <f>CustomRates!AA17</f>
        <v>8</v>
      </c>
      <c r="E69" s="74">
        <f>CustomRates!AA18</f>
        <v>0</v>
      </c>
      <c r="F69" s="101" t="str">
        <f t="shared" si="11"/>
        <v>0</v>
      </c>
    </row>
    <row r="70" spans="1:9" ht="20">
      <c r="A70" s="3"/>
      <c r="B70" s="108" t="str">
        <f>CustomRates!B19</f>
        <v>Additional Operation #8 (Custom)</v>
      </c>
      <c r="C70" s="32" t="str">
        <f>CustomRates!C19</f>
        <v>acre</v>
      </c>
      <c r="D70" s="100">
        <f>CustomRates!AA19</f>
        <v>0</v>
      </c>
      <c r="E70" s="74">
        <f>CustomRates!AA20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FieldApplications!$Z$6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FieldApplications!$Z$6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FieldApplications!$Z$6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FieldApplications!$Z$7</f>
        <v>1</v>
      </c>
      <c r="F75" s="101">
        <f t="shared" si="12"/>
        <v>0.59412746734753996</v>
      </c>
      <c r="H75" s="211">
        <f>MachineAssumptions!$R$29*E75</f>
        <v>0.59412746734753996</v>
      </c>
      <c r="I75" s="147">
        <f>MachineAssumptions!$R$49*E75</f>
        <v>0.59412746734753996</v>
      </c>
    </row>
    <row r="76" spans="1:9" ht="20">
      <c r="A76" s="3"/>
      <c r="B76" s="72" t="str">
        <f>MachineAssumptions!B8&amp;" - Fuel, Lube"</f>
        <v>Harrow - Fuel, Lube</v>
      </c>
      <c r="C76" s="32" t="s">
        <v>245</v>
      </c>
      <c r="D76" s="100">
        <f>MachineAssumptions!$S$8</f>
        <v>2.4845330452715308</v>
      </c>
      <c r="E76" s="74">
        <f>FieldApplications!$Z$7</f>
        <v>1</v>
      </c>
      <c r="F76" s="101">
        <f t="shared" si="12"/>
        <v>2.4845330452715308</v>
      </c>
      <c r="H76" s="211">
        <f>MachineAssumptions!$S$29*E76</f>
        <v>2.4845330452715308</v>
      </c>
      <c r="I76" s="147">
        <f>MachineAssumptions!$S$49*E76</f>
        <v>2.4845330452715308</v>
      </c>
    </row>
    <row r="77" spans="1:9" ht="20">
      <c r="A77" s="3"/>
      <c r="B77" s="72" t="str">
        <f>MachineAssumptions!B8&amp;" - Repairs"</f>
        <v>Harrow - Repairs</v>
      </c>
      <c r="C77" s="32" t="s">
        <v>245</v>
      </c>
      <c r="D77" s="100">
        <f>MachineAssumptions!$T$8</f>
        <v>0.14755184964846621</v>
      </c>
      <c r="E77" s="74">
        <f>FieldApplications!$Z$7</f>
        <v>1</v>
      </c>
      <c r="F77" s="101">
        <f t="shared" si="12"/>
        <v>0.14755184964846621</v>
      </c>
      <c r="H77" s="211">
        <f>MachineAssumptions!$T$29*E77</f>
        <v>0.14755184964846621</v>
      </c>
      <c r="I77" s="147">
        <f>MachineAssumptions!$T$49*E77</f>
        <v>0.1350847093995611</v>
      </c>
    </row>
    <row r="78" spans="1:9" ht="20">
      <c r="A78" s="3"/>
      <c r="B78" s="72" t="str">
        <f>MachineAssumptions!B9&amp;" - Labor"</f>
        <v>Chisel plow - Labor</v>
      </c>
      <c r="C78" s="32" t="s">
        <v>245</v>
      </c>
      <c r="D78" s="100">
        <f>MachineAssumptions!$R$9</f>
        <v>0</v>
      </c>
      <c r="E78" s="74">
        <f>FieldApplications!$Z$8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FieldApplications!$Z$8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FieldApplications!$Z$8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FieldApplications!$Z$9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FieldApplications!$Z$9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FieldApplications!$Z$9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FieldApplications!$Z$10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FieldApplications!$Z$10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FieldApplications!$Z$10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FieldApplications!$Z$11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FieldApplications!$Z$11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FieldApplications!$Z$11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FieldApplications!$Z$12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FieldApplications!$Z$12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FieldApplications!$Z$12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FieldApplications!$Z$13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FieldApplications!$Z$13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FieldApplications!$Z$13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FieldApplications!$Z$14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FieldApplications!$Z$14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FieldApplications!$Z$14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FieldApplications!$Z$15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FieldApplications!$Z$15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FieldApplications!$Z$15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FieldApplications!$Z$16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FieldApplications!$Z$16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FieldApplications!$Z$16</f>
        <v>1</v>
      </c>
      <c r="F104" s="101">
        <f t="shared" si="12"/>
        <v>0.49795949063219769</v>
      </c>
      <c r="H104" s="211">
        <f>MachineAssumptions!$T$38*E104</f>
        <v>0.50280018563848705</v>
      </c>
      <c r="I104" s="147">
        <f>MachineAssumptions!$T$58*E104</f>
        <v>0.4510828286016228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19.562069085172627</v>
      </c>
      <c r="I114" s="214">
        <f>SUM(I74:I113)</f>
        <v>19.497884587886862</v>
      </c>
    </row>
    <row r="115" spans="1:13" ht="20">
      <c r="A115" s="3"/>
      <c r="B115" s="72" t="str">
        <f>'Chem&amp;FertInputs&amp;CInsurance'!B73</f>
        <v>Crop Insurance</v>
      </c>
      <c r="C115" s="16" t="str">
        <f>'Chem&amp;FertInputs&amp;CInsurance'!D73</f>
        <v>acre</v>
      </c>
      <c r="D115" s="100">
        <f>'Chem&amp;FertInputs&amp;CInsurance'!AC73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2.7421014195083169</v>
      </c>
      <c r="G116" t="s">
        <v>111</v>
      </c>
      <c r="H116" s="40">
        <f>(SUM($F8:$F70)+$F115+SUM(H72:H113))*$D116</f>
        <v>2.7423434542586316</v>
      </c>
      <c r="I116" s="40">
        <f>(SUM($F8:$F70)+$F115+SUM(I72:I113))*$D116</f>
        <v>2.7391342293943435</v>
      </c>
      <c r="J116" s="40">
        <f>F72+F75+F78+F81+F84+F87+F90+F93+F96+F99+F102+F105+F108+F111</f>
        <v>2.735250480746048</v>
      </c>
      <c r="K116" t="s">
        <v>111</v>
      </c>
    </row>
    <row r="117" spans="1:13" ht="20">
      <c r="A117" s="3"/>
      <c r="B117" s="72" t="s">
        <v>84</v>
      </c>
      <c r="C117" s="32" t="s">
        <v>83</v>
      </c>
      <c r="D117" s="95">
        <f>MachineAssumptions!D26</f>
        <v>6.7500000000000004E-2</v>
      </c>
      <c r="E117" s="96"/>
      <c r="F117" s="123">
        <f>SUM(F8:F116)*(D117/12*MachineAssumptions!D27)</f>
        <v>2.9151965716147794</v>
      </c>
      <c r="G117" t="s">
        <v>4</v>
      </c>
      <c r="H117" s="40">
        <f>(SUM(F8:F70)+(F115+F116+H114))*((D117/12)*MachineAssumptions!D27)</f>
        <v>2.9154416317994731</v>
      </c>
      <c r="I117" s="40">
        <f>(SUM(F8:F70)+(F115+F116+I114))*((D117/12)*MachineAssumptions!D27)</f>
        <v>2.9121922916243812</v>
      </c>
      <c r="J117" s="40">
        <f>F73+F76+F79+F82+F85+F88+F91+F94+F97+F100+F103+F106+F109+F112</f>
        <v>10.436056912797039</v>
      </c>
      <c r="K117" t="s">
        <v>4</v>
      </c>
    </row>
    <row r="118" spans="1:13" ht="20">
      <c r="A118" s="3"/>
      <c r="B118" s="9" t="s">
        <v>85</v>
      </c>
      <c r="C118" s="22"/>
      <c r="D118" s="124"/>
      <c r="E118" s="125"/>
      <c r="F118" s="126">
        <f>SUM(F8:F117)</f>
        <v>60.499326381289428</v>
      </c>
      <c r="G118" t="s">
        <v>112</v>
      </c>
      <c r="J118" s="40">
        <f>F74+F77+F80+F83+F86+F89+F92+F95+F98+F101+F104+F107+F110+F113</f>
        <v>6.3859209966232511</v>
      </c>
      <c r="K118" t="s">
        <v>112</v>
      </c>
      <c r="L118" s="40">
        <f>H74+H77+H80+H83+H86+H89+H92+H95+H98+H101+H104+H107+H110+H113</f>
        <v>6.3907616916295407</v>
      </c>
      <c r="M118" s="40">
        <f>I74+I77+I80+I83+I86+I89+I92+I95+I98+I101+I104+I107+I110+I113</f>
        <v>6.3265771943437707</v>
      </c>
    </row>
    <row r="119" spans="1:13">
      <c r="A119" s="3"/>
      <c r="B119" s="97"/>
      <c r="C119" s="97"/>
      <c r="D119" s="97"/>
      <c r="E119" s="98"/>
      <c r="F119" s="99"/>
      <c r="H119" s="99"/>
      <c r="J119" s="40">
        <f>SUM(J116:J118)</f>
        <v>19.557228390166337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1</v>
      </c>
      <c r="F122" s="33">
        <f t="shared" si="14"/>
        <v>1.1988479209967022</v>
      </c>
      <c r="H122" s="147">
        <f>MachineAssumptions!U29*E122</f>
        <v>1.1988479209967022</v>
      </c>
      <c r="I122" s="147">
        <f>MachineAssumptions!U49*E122</f>
        <v>1.1988479209967022</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0.8090118780669916</v>
      </c>
      <c r="I131" s="147">
        <f>MachineAssumptions!U58*E131</f>
        <v>0.80913316225248511</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9.249907605422786</v>
      </c>
      <c r="H135" s="37">
        <f t="shared" ref="H135:I135" si="18">SUM(H121:H134)</f>
        <v>9.2497863212372931</v>
      </c>
      <c r="I135" s="37">
        <f t="shared" si="18"/>
        <v>9.249907605422786</v>
      </c>
    </row>
    <row r="136" spans="1:9" ht="20">
      <c r="A136" s="3"/>
      <c r="B136" s="5"/>
      <c r="C136" s="5"/>
      <c r="D136" s="10"/>
      <c r="E136" s="5"/>
      <c r="F136" s="97"/>
    </row>
    <row r="137" spans="1:9" ht="20">
      <c r="A137" s="3"/>
      <c r="B137" s="9" t="s">
        <v>31</v>
      </c>
      <c r="C137" s="22"/>
      <c r="D137" s="23"/>
      <c r="E137" s="22"/>
      <c r="F137" s="38">
        <f>F118+F135</f>
        <v>69.749233986712213</v>
      </c>
      <c r="H137" s="38">
        <f>SUM(F16:F70)+H114+F115+H116+H117+H135+F8+(H9*D9)+(H10*D10)+(H11*D11)+(H12*D12)+(H13*D13)+(H14*D14)+(H15*D15)</f>
        <v>69.754440492468035</v>
      </c>
      <c r="I137" s="38">
        <f>SUM(F16:F70)+I114+F115+I116+I117+I135+F8+(I9*D9)+(I10*D10)+(I11*D11)+(I12*D12)+(I13*D13)+(I14*D14)+(I15*D15)</f>
        <v>69.683918714328371</v>
      </c>
    </row>
    <row r="138" spans="1:9" ht="21">
      <c r="A138" s="3"/>
      <c r="B138" s="24" t="s">
        <v>32</v>
      </c>
      <c r="C138" s="25"/>
      <c r="D138" s="26"/>
      <c r="E138" s="25"/>
      <c r="F138" s="39">
        <f>F5-F137</f>
        <v>-69.749233986712213</v>
      </c>
      <c r="H138" s="215">
        <f>H5-H137</f>
        <v>-69.754440492468035</v>
      </c>
      <c r="I138" s="215">
        <f>I5-I137</f>
        <v>-69.683918714328371</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4 B60:D60 B121:C124 B84:B89 B125:F126 B62:E62 C14:D14 B118:F120 B117:E117 C13:D13 C9:D9 C10:D10 C11:D11 C12:D12 F14 B61:D61 E4:F4 B5:F7 E8 B3:F3 B4:D4 B8:D8 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H20 B32:H32 E21:H21 E22:H22 E23:H23 E24:H24 E25:H25 E26:H26 E27:H27 E28:H28 E29:H29 E30:H30 E31:H31 B41:H41 E33:H33 E34:H34 E35:H35 E36:H36 E37:H37 E38:H38 E39:H39 E40:H40 B52:H53 E42:H42 E43:H43 E44:H44 E45:H45 E46:H46 E47:H47 E48:H48 E49:H49 E50:H50 E51:H51 B58:H59 E54:H54 E55:H55 E56:H56 E57:H57 E115 C15:G15 B9:B15" unlockedFormula="1"/>
    <ignoredError sqref="D127:D134 D121:D124" formula="1" unlocked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CAD1-C248-D240-B90B-8AF59AE226C6}">
  <sheetPr codeName="Sheet2">
    <pageSetUpPr fitToPage="1"/>
  </sheetPr>
  <dimension ref="C3:AA46"/>
  <sheetViews>
    <sheetView workbookViewId="0">
      <selection activeCell="B2" sqref="B2:F2"/>
    </sheetView>
  </sheetViews>
  <sheetFormatPr baseColWidth="10" defaultColWidth="10.83203125" defaultRowHeight="15"/>
  <cols>
    <col min="3" max="3" width="14.1640625" bestFit="1" customWidth="1"/>
  </cols>
  <sheetData>
    <row r="3" spans="3:27">
      <c r="F3">
        <f>(30*0.6)+(20*0.4)</f>
        <v>26</v>
      </c>
    </row>
    <row r="7" spans="3:27">
      <c r="D7" s="710" t="s">
        <v>276</v>
      </c>
      <c r="E7" s="710"/>
      <c r="F7" s="710"/>
      <c r="G7" s="710" t="s">
        <v>205</v>
      </c>
      <c r="H7" s="710"/>
      <c r="I7" s="710"/>
      <c r="J7" s="710" t="s">
        <v>277</v>
      </c>
      <c r="K7" s="710"/>
      <c r="L7" s="710"/>
      <c r="M7" s="710" t="s">
        <v>207</v>
      </c>
      <c r="N7" s="710"/>
      <c r="O7" s="710"/>
      <c r="P7" s="710" t="s">
        <v>278</v>
      </c>
      <c r="Q7" s="710"/>
      <c r="R7" s="710"/>
      <c r="S7" s="710" t="s">
        <v>209</v>
      </c>
      <c r="T7" s="710"/>
      <c r="U7" s="710"/>
      <c r="V7" s="710" t="s">
        <v>279</v>
      </c>
      <c r="W7" s="710"/>
      <c r="X7" s="710"/>
      <c r="Y7" s="710" t="s">
        <v>211</v>
      </c>
      <c r="Z7" s="710"/>
      <c r="AA7" s="710"/>
    </row>
    <row r="8" spans="3:27">
      <c r="C8" s="274" t="s">
        <v>198</v>
      </c>
      <c r="D8" s="231" t="s">
        <v>232</v>
      </c>
      <c r="E8" s="231" t="s">
        <v>234</v>
      </c>
      <c r="F8" s="231" t="s">
        <v>233</v>
      </c>
      <c r="G8" s="231" t="s">
        <v>235</v>
      </c>
      <c r="H8" s="231" t="s">
        <v>236</v>
      </c>
      <c r="I8" s="231" t="s">
        <v>237</v>
      </c>
      <c r="J8" s="231" t="s">
        <v>232</v>
      </c>
      <c r="K8" s="231" t="s">
        <v>234</v>
      </c>
      <c r="L8" s="231" t="s">
        <v>233</v>
      </c>
      <c r="M8" s="231" t="s">
        <v>235</v>
      </c>
      <c r="N8" s="231" t="s">
        <v>236</v>
      </c>
      <c r="O8" s="231" t="s">
        <v>237</v>
      </c>
      <c r="P8" s="231" t="s">
        <v>232</v>
      </c>
      <c r="Q8" s="231" t="s">
        <v>234</v>
      </c>
      <c r="R8" s="231" t="s">
        <v>233</v>
      </c>
      <c r="S8" s="231" t="s">
        <v>235</v>
      </c>
      <c r="T8" s="231" t="s">
        <v>236</v>
      </c>
      <c r="U8" s="231" t="s">
        <v>237</v>
      </c>
      <c r="V8" s="231" t="s">
        <v>232</v>
      </c>
      <c r="W8" s="231" t="s">
        <v>234</v>
      </c>
      <c r="X8" s="231" t="s">
        <v>233</v>
      </c>
      <c r="Y8" s="231" t="s">
        <v>235</v>
      </c>
      <c r="Z8" s="231" t="s">
        <v>236</v>
      </c>
      <c r="AA8" s="231" t="s">
        <v>237</v>
      </c>
    </row>
    <row r="9" spans="3:27">
      <c r="C9">
        <v>2018</v>
      </c>
      <c r="D9" s="279">
        <f>(4.79*D27)-D15-((D35*0.36)+26)-D43-((D27-90)*0.2636)</f>
        <v>409.41385473982888</v>
      </c>
      <c r="E9" s="279">
        <f>(4.79*E27)-D15-((E35*0.36)+26)-E43-((E27-90)*0.2636)</f>
        <v>400.83651859878904</v>
      </c>
      <c r="F9" s="279">
        <f>(4.79*F27)-D15-((F35*0.36)+26)-F43-((F27-90)*0.2636)</f>
        <v>408.71989228608646</v>
      </c>
      <c r="G9" s="279">
        <f>(4.79*G27)-D15-((G35*0.36)+26)-G43-((G27-90)*0.2636)</f>
        <v>170.50239547803866</v>
      </c>
      <c r="H9" s="279">
        <f>(4.79*H27)-D15-((H35*0.36)+26)-H43-((H27-90)*0.2636)</f>
        <v>143.60737760062835</v>
      </c>
      <c r="I9" s="279">
        <f>(4.79*I27)-D15-((I35*0.36)+26)-I43-((I27-90)*0.2636)</f>
        <v>169.46096622074441</v>
      </c>
      <c r="J9" s="279">
        <f>(5.97*J27)-E15-((J35*0.36)+26)-J43-((J27-65)*0.2636)</f>
        <v>117.26872069483586</v>
      </c>
      <c r="K9" s="279">
        <f>(5.97*K27)-E15-((K35*0.36)+26)-K43-((K27-65)*0.2636)</f>
        <v>109.8007561511681</v>
      </c>
      <c r="L9" s="279">
        <v>0</v>
      </c>
      <c r="M9" s="279">
        <f>(5.97*M27)-E15-((M35*0.36)+26)-M43-((M27-65)*0.2636)</f>
        <v>51.302509713704154</v>
      </c>
      <c r="N9" s="279">
        <f>(5.97*N27)-E15-((N35*0.36)+26)-N43-((N27-65)*0.2636)</f>
        <v>50.352496479887812</v>
      </c>
      <c r="O9" s="279">
        <f>(5.97*O27)-E15-((O35*0.36)+26)-O43-((O27-65)*0.2636)</f>
        <v>82.604277209534956</v>
      </c>
      <c r="P9" s="279">
        <v>0</v>
      </c>
      <c r="Q9" s="279">
        <f>(0.08*Q27)-F15-((Q35*0.36)+26)-Q43-((Q27-2000)*0.0109)</f>
        <v>36.139545799999972</v>
      </c>
      <c r="R9" s="279">
        <v>0</v>
      </c>
      <c r="S9" s="279">
        <v>0</v>
      </c>
      <c r="T9" s="279">
        <f>(0.08*T27)-F15-((T35*0.36))-T43-((T27-2000)*0.0109)</f>
        <v>12.986504599999988</v>
      </c>
      <c r="U9" s="279">
        <v>0</v>
      </c>
      <c r="V9" s="279">
        <f>(0.16*V27)-G15-((V35*0.36))-V43-((V27-1400)*0.0169)</f>
        <v>107.7113399</v>
      </c>
      <c r="W9" s="279">
        <v>0</v>
      </c>
      <c r="X9" s="279">
        <f>(0.16*X27)-G15-((X35*0.36))-X43-((X27-1400)*0.0169)</f>
        <v>125.86142839999997</v>
      </c>
      <c r="Y9" s="279">
        <v>0</v>
      </c>
      <c r="Z9" s="279">
        <v>0</v>
      </c>
      <c r="AA9" s="279">
        <v>0</v>
      </c>
    </row>
    <row r="10" spans="3:27">
      <c r="C10">
        <v>2019</v>
      </c>
      <c r="D10" s="279">
        <f>(4.79*D28)-D15-((D36*0.36)+26)-D44-((D28-90)*0.2636)</f>
        <v>227.19025471778372</v>
      </c>
      <c r="E10" s="279">
        <f>(4.79*E28)-D15-((E36*0.36)+26)-E44-((E28-90)*0.2636)</f>
        <v>241.57191993612309</v>
      </c>
      <c r="F10" s="279">
        <f>(4.79*F28)-D15-((F36*0.36)+26)-F44-((F28-90)*0.2636)</f>
        <v>252.32730107610158</v>
      </c>
      <c r="G10" s="279">
        <f>(4.79*G28)-D15-((G36*0.36)+26)-G44-((G28-90)*0.2636)</f>
        <v>264.43764000756124</v>
      </c>
      <c r="H10" s="279">
        <f>(4.79*H28)-D15-((H36*0.36)+26)-H44-((H28-90)*0.2636)</f>
        <v>182.75631144628261</v>
      </c>
      <c r="I10" s="279">
        <f>(4.79*I28)-D15-((I36*0.36)+26)-I44-((I28-90)*0.2636)</f>
        <v>166.9733905555054</v>
      </c>
      <c r="J10" s="279">
        <f>(5.97*J28)-E15-((J36*0.36)+26)-J44-((J28-65)*0.2636)</f>
        <v>160.18693574733726</v>
      </c>
      <c r="K10" s="279">
        <f>(5.97*K28)-E15-((K36*0.36)+26)-K44-((K28-65)*0.2636)</f>
        <v>176.80836231151807</v>
      </c>
      <c r="L10" s="279">
        <v>0</v>
      </c>
      <c r="M10" s="279">
        <f>(5.97*M28)-E15-((M36*0.36)+26)-M44-((M28-65)*0.2636)</f>
        <v>115.5088972672731</v>
      </c>
      <c r="N10" s="279">
        <f>(5.97*N28)-E15-((N36*0.36)+26)-N44-((N28-65)*0.2636)</f>
        <v>107.90619892263419</v>
      </c>
      <c r="O10" s="279">
        <f>(5.97*O28)-E15-((O36*0.36)+26)-O44-((O28-65)*0.2636)</f>
        <v>129.37712242377995</v>
      </c>
      <c r="P10" s="279">
        <v>0</v>
      </c>
      <c r="Q10" s="279">
        <f>(0.08*Q28)-F15-((Q36*0.36)+26)-Q44-((Q28-2000)*0.0109)</f>
        <v>-49.102614300000013</v>
      </c>
      <c r="R10" s="279">
        <v>0</v>
      </c>
      <c r="S10" s="279">
        <v>0</v>
      </c>
      <c r="T10" s="279">
        <f>(0.08*T28)-F15-((T36*0.36))-T44-((T28-2000)*0.0109)</f>
        <v>-92.93666690000002</v>
      </c>
      <c r="U10" s="279">
        <v>0</v>
      </c>
      <c r="V10" s="279">
        <f>(0.16*V28)-G15-((V36*0.36))-V44-((V28-1400)*0.0169)</f>
        <v>97.565366600000004</v>
      </c>
      <c r="W10" s="279">
        <v>0</v>
      </c>
      <c r="X10" s="279">
        <f>(0.16*X28)-G15-((X36*0.36))-X44-((X28-1400)*0.0169)</f>
        <v>104.13151009999997</v>
      </c>
      <c r="Y10" s="279">
        <v>0</v>
      </c>
      <c r="Z10" s="279">
        <v>0</v>
      </c>
      <c r="AA10" s="279">
        <v>0</v>
      </c>
    </row>
    <row r="11" spans="3:27">
      <c r="C11">
        <v>2020</v>
      </c>
      <c r="D11" s="280">
        <f>(4.79*D29)-D15-((D37*0.36)+26)-D45-((D29-90)*0.2636)</f>
        <v>382.50216344382591</v>
      </c>
      <c r="E11" s="280">
        <f>(4.79*E29)-D15-((E37*0.36)+26)-E45-((E29-90)*0.2636)</f>
        <v>380.37004696355035</v>
      </c>
      <c r="F11" s="280">
        <f>(4.79*F29)-D15-((F37*0.36)+26)-F45-((F29-90)*0.2636)</f>
        <v>362.31670282587788</v>
      </c>
      <c r="G11" s="280">
        <f>(4.79*G29)-D15-((G37*0.36)+26)-G45-((G29-90)*0.2636)</f>
        <v>321.03352271512546</v>
      </c>
      <c r="H11" s="280">
        <f>(4.79*H29)-D15-((H37*0.36)+26)-H45-((H29-90)*0.2636)</f>
        <v>289.88190910737853</v>
      </c>
      <c r="I11" s="280">
        <f>(4.79*I29)-D15-((I37*0.36)+26)-I45-((I29-90)*0.2636)</f>
        <v>305.71342211136272</v>
      </c>
      <c r="J11" s="280">
        <f>(5.97*J29)-E15-((J37*0.36)+26)-J45-((J29-65)*0.2636)</f>
        <v>250.15108256607169</v>
      </c>
      <c r="K11" s="280">
        <f>(5.97*K29)-E15-((K37*0.36)+26)-K45-((K29-65)*0.2636)</f>
        <v>237.72698073345947</v>
      </c>
      <c r="L11" s="280">
        <v>0</v>
      </c>
      <c r="M11" s="280">
        <f>(5.97*M29)-E15-((M37*0.36)+26)-M45-((M29-65)*0.2636)</f>
        <v>108.47175349403832</v>
      </c>
      <c r="N11" s="280">
        <f>(5.97*N29)-E15-((N37*0.36)+26)-N45-((N29-65)*0.2636)</f>
        <v>97.858411071738928</v>
      </c>
      <c r="O11" s="280">
        <f>(5.97*O29)-E15-((O37*0.36)+26)-O45-((O29-65)*0.2636)</f>
        <v>104.81569088599112</v>
      </c>
      <c r="P11" s="280">
        <v>0</v>
      </c>
      <c r="Q11" s="280">
        <f>(0.08*Q29)-F15-((Q37*0.36)+26)-Q45-((Q29-2000)*0.0109)</f>
        <v>126.15031260000001</v>
      </c>
      <c r="R11" s="280">
        <v>0</v>
      </c>
      <c r="S11" s="280">
        <v>0</v>
      </c>
      <c r="T11" s="280">
        <f>(0.08*T29)-F15-((T37*0.36))-T45-((T29-2000)*0.0109)</f>
        <v>9.7192605000000025</v>
      </c>
      <c r="U11" s="280">
        <v>0</v>
      </c>
      <c r="V11" s="280">
        <f>(0.16*V29)-G15-((V37*0.36))-V45-((V29-1400)*0.0169)</f>
        <v>117.15156330000002</v>
      </c>
      <c r="W11" s="280">
        <v>0</v>
      </c>
      <c r="X11" s="280">
        <f>(0.16*X29)-G15-((X37*0.36))-X45-((X29-1400)*0.0169)</f>
        <v>91.905575099999993</v>
      </c>
      <c r="Y11" s="280">
        <v>0</v>
      </c>
      <c r="Z11" s="280">
        <v>0</v>
      </c>
      <c r="AA11" s="280">
        <v>0</v>
      </c>
    </row>
    <row r="12" spans="3:27">
      <c r="C12" s="157" t="s">
        <v>219</v>
      </c>
      <c r="D12" s="279">
        <f>AVERAGE(D10:D11)</f>
        <v>304.84620908080478</v>
      </c>
      <c r="E12" s="279">
        <f t="shared" ref="E12:O12" si="0">AVERAGE(E10:E11)</f>
        <v>310.97098344983669</v>
      </c>
      <c r="F12" s="279">
        <f t="shared" si="0"/>
        <v>307.32200195098972</v>
      </c>
      <c r="G12" s="279">
        <f t="shared" si="0"/>
        <v>292.73558136134335</v>
      </c>
      <c r="H12" s="279">
        <f t="shared" si="0"/>
        <v>236.31911027683057</v>
      </c>
      <c r="I12" s="279">
        <f t="shared" si="0"/>
        <v>236.34340633343407</v>
      </c>
      <c r="J12" s="279">
        <f t="shared" si="0"/>
        <v>205.16900915670448</v>
      </c>
      <c r="K12" s="279">
        <f t="shared" si="0"/>
        <v>207.26767152248877</v>
      </c>
      <c r="L12" s="279">
        <f t="shared" si="0"/>
        <v>0</v>
      </c>
      <c r="M12" s="279">
        <f t="shared" si="0"/>
        <v>111.99032538065572</v>
      </c>
      <c r="N12" s="279">
        <f t="shared" si="0"/>
        <v>102.88230499718657</v>
      </c>
      <c r="O12" s="279">
        <f t="shared" si="0"/>
        <v>117.09640665488553</v>
      </c>
      <c r="P12" s="279">
        <f>AVERAGE(P10:P11)</f>
        <v>0</v>
      </c>
      <c r="Q12" s="279">
        <f t="shared" ref="Q12" si="1">AVERAGE(Q10:Q11)</f>
        <v>38.523849149999997</v>
      </c>
      <c r="R12" s="279">
        <f t="shared" ref="R12" si="2">AVERAGE(R10:R11)</f>
        <v>0</v>
      </c>
      <c r="S12" s="279">
        <f t="shared" ref="S12" si="3">AVERAGE(S10:S11)</f>
        <v>0</v>
      </c>
      <c r="T12" s="279">
        <f t="shared" ref="T12" si="4">AVERAGE(T10:T11)</f>
        <v>-41.608703200000008</v>
      </c>
      <c r="U12" s="279">
        <f t="shared" ref="U12" si="5">AVERAGE(U10:U11)</f>
        <v>0</v>
      </c>
      <c r="V12" s="279">
        <f t="shared" ref="V12" si="6">AVERAGE(V10:V11)</f>
        <v>107.35846495000001</v>
      </c>
      <c r="W12" s="279">
        <f t="shared" ref="W12" si="7">AVERAGE(W10:W11)</f>
        <v>0</v>
      </c>
      <c r="X12" s="279">
        <f t="shared" ref="X12" si="8">AVERAGE(X10:X11)</f>
        <v>98.018542599999989</v>
      </c>
      <c r="Y12" s="279">
        <f t="shared" ref="Y12" si="9">AVERAGE(Y10:Y11)</f>
        <v>0</v>
      </c>
      <c r="Z12" s="279">
        <f t="shared" ref="Z12" si="10">AVERAGE(Z10:Z11)</f>
        <v>0</v>
      </c>
      <c r="AA12" s="279">
        <f t="shared" ref="AA12" si="11">AVERAGE(AA10:AA11)</f>
        <v>0</v>
      </c>
    </row>
    <row r="13" spans="3:27">
      <c r="C13" s="156" t="s">
        <v>220</v>
      </c>
      <c r="D13" s="282">
        <f>D10+D11</f>
        <v>609.69241816160957</v>
      </c>
      <c r="E13" s="282">
        <f t="shared" ref="E13:O13" si="12">E10+E11</f>
        <v>621.94196689967339</v>
      </c>
      <c r="F13" s="282">
        <f t="shared" si="12"/>
        <v>614.64400390197943</v>
      </c>
      <c r="G13" s="282">
        <f t="shared" si="12"/>
        <v>585.4711627226867</v>
      </c>
      <c r="H13" s="282">
        <f t="shared" si="12"/>
        <v>472.63822055366114</v>
      </c>
      <c r="I13" s="282">
        <f t="shared" si="12"/>
        <v>472.68681266686815</v>
      </c>
      <c r="J13" s="282">
        <f t="shared" si="12"/>
        <v>410.33801831340895</v>
      </c>
      <c r="K13" s="282">
        <f t="shared" si="12"/>
        <v>414.53534304497754</v>
      </c>
      <c r="L13" s="282">
        <f t="shared" si="12"/>
        <v>0</v>
      </c>
      <c r="M13" s="282">
        <f t="shared" si="12"/>
        <v>223.98065076131144</v>
      </c>
      <c r="N13" s="282">
        <f t="shared" si="12"/>
        <v>205.76460999437313</v>
      </c>
      <c r="O13" s="282">
        <f t="shared" si="12"/>
        <v>234.19281330977105</v>
      </c>
      <c r="P13" s="282">
        <f>P10+P11</f>
        <v>0</v>
      </c>
      <c r="Q13" s="282">
        <f t="shared" ref="Q13:AA13" si="13">Q10+Q11</f>
        <v>77.047698299999993</v>
      </c>
      <c r="R13" s="282">
        <f t="shared" si="13"/>
        <v>0</v>
      </c>
      <c r="S13" s="282">
        <f t="shared" si="13"/>
        <v>0</v>
      </c>
      <c r="T13" s="282">
        <f t="shared" si="13"/>
        <v>-83.217406400000016</v>
      </c>
      <c r="U13" s="282">
        <f t="shared" si="13"/>
        <v>0</v>
      </c>
      <c r="V13" s="282">
        <f t="shared" si="13"/>
        <v>214.71692990000003</v>
      </c>
      <c r="W13" s="282">
        <f t="shared" si="13"/>
        <v>0</v>
      </c>
      <c r="X13" s="282">
        <f t="shared" si="13"/>
        <v>196.03708519999998</v>
      </c>
      <c r="Y13" s="282">
        <f t="shared" si="13"/>
        <v>0</v>
      </c>
      <c r="Z13" s="282">
        <f t="shared" si="13"/>
        <v>0</v>
      </c>
      <c r="AA13" s="282">
        <f t="shared" si="13"/>
        <v>0</v>
      </c>
    </row>
    <row r="14" spans="3:27">
      <c r="D14" t="s">
        <v>213</v>
      </c>
      <c r="E14" t="s">
        <v>214</v>
      </c>
      <c r="F14" t="s">
        <v>215</v>
      </c>
      <c r="G14" t="s">
        <v>216</v>
      </c>
      <c r="H14" t="s">
        <v>217</v>
      </c>
      <c r="I14" t="s">
        <v>218</v>
      </c>
    </row>
    <row r="15" spans="3:27">
      <c r="C15" s="274" t="s">
        <v>212</v>
      </c>
      <c r="D15" s="278">
        <f>207.6-67.68-37.49-3.08-7.28</f>
        <v>92.069999999999979</v>
      </c>
      <c r="E15" s="278">
        <f>182.8-47-37.49-3.08-4.46</f>
        <v>90.77000000000001</v>
      </c>
      <c r="F15" s="278">
        <f>171.34-22.6-9.53-3.95</f>
        <v>135.26000000000002</v>
      </c>
      <c r="G15" s="278">
        <f>182.12-25.88-11.91-4.44</f>
        <v>139.89000000000001</v>
      </c>
      <c r="H15" s="278" t="s">
        <v>8</v>
      </c>
      <c r="I15" s="278" t="s">
        <v>8</v>
      </c>
      <c r="J15" s="153" t="s">
        <v>8</v>
      </c>
      <c r="K15" s="153" t="s">
        <v>8</v>
      </c>
      <c r="L15" s="153" t="s">
        <v>8</v>
      </c>
      <c r="M15" s="153" t="s">
        <v>8</v>
      </c>
      <c r="N15" s="153" t="s">
        <v>8</v>
      </c>
      <c r="V15" t="s">
        <v>221</v>
      </c>
    </row>
    <row r="16" spans="3:27">
      <c r="C16" s="153" t="s">
        <v>8</v>
      </c>
      <c r="K16">
        <f>((K36*0.36)+26)</f>
        <v>78.919999999999987</v>
      </c>
    </row>
    <row r="17" spans="3:27">
      <c r="C17" s="153" t="s">
        <v>8</v>
      </c>
    </row>
    <row r="18" spans="3:27">
      <c r="C18" s="153" t="s">
        <v>8</v>
      </c>
      <c r="M18">
        <f>((M36*0.36)+26)</f>
        <v>67.400000000000006</v>
      </c>
      <c r="N18">
        <f t="shared" ref="N18:O19" si="14">((N36*0.36)+26)</f>
        <v>67.400000000000006</v>
      </c>
      <c r="O18">
        <f t="shared" si="14"/>
        <v>67.400000000000006</v>
      </c>
    </row>
    <row r="19" spans="3:27">
      <c r="G19">
        <f>((G37*0.36)+26)</f>
        <v>33.200000000000003</v>
      </c>
      <c r="H19">
        <f t="shared" ref="H19:I19" si="15">((H37*0.36)+26)</f>
        <v>53</v>
      </c>
      <c r="I19">
        <f t="shared" si="15"/>
        <v>62</v>
      </c>
      <c r="M19">
        <f>((M37*0.36)+26)</f>
        <v>44</v>
      </c>
      <c r="N19">
        <f t="shared" si="14"/>
        <v>45.8</v>
      </c>
      <c r="O19">
        <f t="shared" si="14"/>
        <v>62</v>
      </c>
    </row>
    <row r="25" spans="3:27">
      <c r="D25" s="710" t="s">
        <v>204</v>
      </c>
      <c r="E25" s="710"/>
      <c r="F25" s="710"/>
      <c r="G25" s="710" t="s">
        <v>205</v>
      </c>
      <c r="H25" s="710"/>
      <c r="I25" s="712"/>
      <c r="J25" s="710" t="s">
        <v>206</v>
      </c>
      <c r="K25" s="710"/>
      <c r="L25" s="710"/>
      <c r="M25" s="710" t="s">
        <v>207</v>
      </c>
      <c r="N25" s="710"/>
      <c r="O25" s="712"/>
      <c r="P25" s="710" t="s">
        <v>208</v>
      </c>
      <c r="Q25" s="710"/>
      <c r="R25" s="710"/>
      <c r="S25" s="710" t="s">
        <v>209</v>
      </c>
      <c r="T25" s="710"/>
      <c r="U25" s="712"/>
      <c r="V25" s="710" t="s">
        <v>210</v>
      </c>
      <c r="W25" s="710"/>
      <c r="X25" s="710"/>
      <c r="Y25" s="710" t="s">
        <v>211</v>
      </c>
      <c r="Z25" s="710"/>
      <c r="AA25" s="712"/>
    </row>
    <row r="26" spans="3:27">
      <c r="C26" s="276" t="s">
        <v>197</v>
      </c>
      <c r="D26" s="275" t="s">
        <v>138</v>
      </c>
      <c r="E26" s="275" t="s">
        <v>203</v>
      </c>
      <c r="F26" s="275" t="s">
        <v>135</v>
      </c>
      <c r="G26" s="275" t="s">
        <v>138</v>
      </c>
      <c r="H26" s="275" t="s">
        <v>203</v>
      </c>
      <c r="I26" s="277" t="s">
        <v>135</v>
      </c>
      <c r="J26" s="275" t="s">
        <v>138</v>
      </c>
      <c r="K26" s="275" t="s">
        <v>203</v>
      </c>
      <c r="L26" s="275" t="s">
        <v>135</v>
      </c>
      <c r="M26" s="275" t="s">
        <v>138</v>
      </c>
      <c r="N26" s="275" t="s">
        <v>203</v>
      </c>
      <c r="O26" s="277" t="s">
        <v>135</v>
      </c>
      <c r="P26" s="275" t="s">
        <v>138</v>
      </c>
      <c r="Q26" s="275" t="s">
        <v>203</v>
      </c>
      <c r="R26" s="275" t="s">
        <v>135</v>
      </c>
      <c r="S26" s="275" t="s">
        <v>138</v>
      </c>
      <c r="T26" s="275" t="s">
        <v>203</v>
      </c>
      <c r="U26" s="277" t="s">
        <v>135</v>
      </c>
      <c r="V26" s="275" t="s">
        <v>138</v>
      </c>
      <c r="W26" s="275" t="s">
        <v>203</v>
      </c>
      <c r="X26" s="275" t="s">
        <v>135</v>
      </c>
      <c r="Y26" s="275" t="s">
        <v>138</v>
      </c>
      <c r="Z26" s="275" t="s">
        <v>203</v>
      </c>
      <c r="AA26" s="277" t="s">
        <v>135</v>
      </c>
    </row>
    <row r="27" spans="3:27">
      <c r="C27" s="44">
        <v>2018</v>
      </c>
      <c r="D27">
        <v>118.45171764312231</v>
      </c>
      <c r="E27">
        <v>116.55676002977842</v>
      </c>
      <c r="F27">
        <v>118.29840320919193</v>
      </c>
      <c r="G27">
        <v>65.669935374257392</v>
      </c>
      <c r="H27">
        <v>59.728123365285512</v>
      </c>
      <c r="I27" s="44">
        <v>65.43985644678871</v>
      </c>
      <c r="J27">
        <v>41.796004607955254</v>
      </c>
      <c r="K27">
        <v>40.487304807088201</v>
      </c>
      <c r="L27">
        <v>0</v>
      </c>
      <c r="M27">
        <v>33.705753139230367</v>
      </c>
      <c r="N27">
        <v>33.539271078068104</v>
      </c>
      <c r="O27" s="44">
        <v>39.191132274207028</v>
      </c>
      <c r="P27">
        <v>0</v>
      </c>
      <c r="Q27">
        <v>2541.2379999999998</v>
      </c>
      <c r="R27">
        <v>0</v>
      </c>
      <c r="S27">
        <v>0</v>
      </c>
      <c r="T27">
        <v>1829.9059999999999</v>
      </c>
      <c r="U27" s="44">
        <v>0</v>
      </c>
      <c r="V27">
        <v>1564.9290000000001</v>
      </c>
      <c r="W27">
        <v>0</v>
      </c>
      <c r="X27">
        <v>1691.7639999999999</v>
      </c>
      <c r="Y27">
        <v>0</v>
      </c>
      <c r="Z27">
        <v>0</v>
      </c>
      <c r="AA27" s="44">
        <v>0</v>
      </c>
    </row>
    <row r="28" spans="3:27">
      <c r="C28" s="44">
        <v>2019</v>
      </c>
      <c r="D28">
        <v>89.465415057834861</v>
      </c>
      <c r="E28">
        <v>92.642700586806981</v>
      </c>
      <c r="F28">
        <v>95.01884523597154</v>
      </c>
      <c r="G28">
        <v>101.27333863723075</v>
      </c>
      <c r="H28">
        <v>80.841797332600436</v>
      </c>
      <c r="I28" s="44">
        <v>79.740939942449941</v>
      </c>
      <c r="J28">
        <v>62.484742700711003</v>
      </c>
      <c r="K28">
        <v>65.397511971035698</v>
      </c>
      <c r="L28">
        <v>0</v>
      </c>
      <c r="M28">
        <v>52.743392903980293</v>
      </c>
      <c r="N28">
        <v>51.411082104765569</v>
      </c>
      <c r="O28" s="44">
        <v>55.173686110994673</v>
      </c>
      <c r="P28">
        <v>0</v>
      </c>
      <c r="Q28">
        <v>2287.2269999999999</v>
      </c>
      <c r="R28">
        <v>0</v>
      </c>
      <c r="S28">
        <v>0</v>
      </c>
      <c r="T28">
        <v>1455.0409999999999</v>
      </c>
      <c r="U28" s="44">
        <v>0</v>
      </c>
      <c r="V28">
        <v>1812.6859999999999</v>
      </c>
      <c r="W28">
        <v>0</v>
      </c>
      <c r="X28">
        <v>1858.5709999999999</v>
      </c>
      <c r="Y28">
        <v>0</v>
      </c>
      <c r="Z28">
        <v>0</v>
      </c>
      <c r="AA28" s="44">
        <v>0</v>
      </c>
    </row>
    <row r="29" spans="3:27">
      <c r="C29" s="44">
        <v>2020</v>
      </c>
      <c r="D29">
        <v>126.79351436988023</v>
      </c>
      <c r="E29">
        <v>126.32247414359099</v>
      </c>
      <c r="F29">
        <v>122.33401882862272</v>
      </c>
      <c r="G29">
        <v>101.89985920712385</v>
      </c>
      <c r="H29">
        <v>99.391991230863042</v>
      </c>
      <c r="I29" s="44">
        <v>104.87792110979206</v>
      </c>
      <c r="J29">
        <v>79.26662739486747</v>
      </c>
      <c r="K29">
        <v>77.089405007265427</v>
      </c>
      <c r="L29">
        <v>0</v>
      </c>
      <c r="M29">
        <v>45.984815907408937</v>
      </c>
      <c r="N29">
        <v>44.440349620029956</v>
      </c>
      <c r="O29" s="44">
        <v>48.498473798890913</v>
      </c>
      <c r="P29">
        <v>0</v>
      </c>
      <c r="Q29">
        <v>4560.7860000000001</v>
      </c>
      <c r="R29">
        <v>0</v>
      </c>
      <c r="S29">
        <v>0</v>
      </c>
      <c r="T29">
        <v>2240.6550000000002</v>
      </c>
      <c r="U29" s="44">
        <v>0</v>
      </c>
      <c r="V29">
        <v>2181.143</v>
      </c>
      <c r="W29">
        <v>0</v>
      </c>
      <c r="X29">
        <v>2004.721</v>
      </c>
      <c r="Y29">
        <v>0</v>
      </c>
      <c r="Z29">
        <v>0</v>
      </c>
      <c r="AA29" s="44">
        <v>0</v>
      </c>
    </row>
    <row r="30" spans="3:27">
      <c r="C30" s="153" t="s">
        <v>8</v>
      </c>
    </row>
    <row r="33" spans="3:27">
      <c r="D33" s="710" t="s">
        <v>204</v>
      </c>
      <c r="E33" s="710"/>
      <c r="F33" s="710"/>
      <c r="G33" s="710" t="s">
        <v>205</v>
      </c>
      <c r="H33" s="710"/>
      <c r="I33" s="712"/>
      <c r="J33" s="710" t="s">
        <v>206</v>
      </c>
      <c r="K33" s="710"/>
      <c r="L33" s="710"/>
      <c r="M33" s="710" t="s">
        <v>207</v>
      </c>
      <c r="N33" s="710"/>
      <c r="O33" s="712"/>
      <c r="P33" s="710" t="s">
        <v>208</v>
      </c>
      <c r="Q33" s="710"/>
      <c r="R33" s="710"/>
      <c r="S33" s="710" t="s">
        <v>209</v>
      </c>
      <c r="T33" s="710"/>
      <c r="U33" s="712"/>
      <c r="V33" s="710" t="s">
        <v>210</v>
      </c>
      <c r="W33" s="710"/>
      <c r="X33" s="710"/>
      <c r="Y33" s="710" t="s">
        <v>211</v>
      </c>
      <c r="Z33" s="710"/>
      <c r="AA33" s="712"/>
    </row>
    <row r="34" spans="3:27" ht="17">
      <c r="C34" s="273" t="s">
        <v>200</v>
      </c>
      <c r="D34" s="275" t="s">
        <v>138</v>
      </c>
      <c r="E34" s="275" t="s">
        <v>203</v>
      </c>
      <c r="F34" s="275" t="s">
        <v>135</v>
      </c>
      <c r="G34" s="275" t="s">
        <v>138</v>
      </c>
      <c r="H34" s="275" t="s">
        <v>203</v>
      </c>
      <c r="I34" s="277" t="s">
        <v>135</v>
      </c>
      <c r="J34" s="275" t="s">
        <v>138</v>
      </c>
      <c r="K34" s="275" t="s">
        <v>203</v>
      </c>
      <c r="L34" s="275" t="s">
        <v>135</v>
      </c>
      <c r="M34" s="275" t="s">
        <v>138</v>
      </c>
      <c r="N34" s="275" t="s">
        <v>203</v>
      </c>
      <c r="O34" s="277" t="s">
        <v>135</v>
      </c>
      <c r="P34" s="275" t="s">
        <v>138</v>
      </c>
      <c r="Q34" s="275" t="s">
        <v>203</v>
      </c>
      <c r="R34" s="275" t="s">
        <v>135</v>
      </c>
      <c r="S34" s="275" t="s">
        <v>138</v>
      </c>
      <c r="T34" s="275" t="s">
        <v>203</v>
      </c>
      <c r="U34" s="277" t="s">
        <v>135</v>
      </c>
      <c r="V34" s="275" t="s">
        <v>138</v>
      </c>
      <c r="W34" s="275" t="s">
        <v>203</v>
      </c>
      <c r="X34" s="275" t="s">
        <v>135</v>
      </c>
      <c r="Y34" s="275" t="s">
        <v>138</v>
      </c>
      <c r="Z34" s="275" t="s">
        <v>203</v>
      </c>
      <c r="AA34" s="277" t="s">
        <v>135</v>
      </c>
    </row>
    <row r="35" spans="3:27">
      <c r="C35">
        <v>2018</v>
      </c>
      <c r="D35">
        <v>90</v>
      </c>
      <c r="E35">
        <v>90</v>
      </c>
      <c r="F35">
        <v>90</v>
      </c>
      <c r="G35">
        <v>90</v>
      </c>
      <c r="H35">
        <v>90</v>
      </c>
      <c r="I35">
        <v>90</v>
      </c>
      <c r="J35">
        <v>60</v>
      </c>
      <c r="K35">
        <v>60</v>
      </c>
      <c r="L35">
        <v>0</v>
      </c>
      <c r="M35">
        <v>115</v>
      </c>
      <c r="N35">
        <v>115</v>
      </c>
      <c r="O35">
        <v>115</v>
      </c>
      <c r="P35">
        <v>0</v>
      </c>
      <c r="Q35">
        <v>0</v>
      </c>
      <c r="R35">
        <v>0</v>
      </c>
      <c r="S35">
        <v>0</v>
      </c>
      <c r="T35">
        <v>0</v>
      </c>
      <c r="U35">
        <v>0</v>
      </c>
      <c r="V35">
        <v>0</v>
      </c>
      <c r="W35">
        <v>0</v>
      </c>
      <c r="X35">
        <v>0</v>
      </c>
      <c r="Y35">
        <v>0</v>
      </c>
      <c r="Z35">
        <v>0</v>
      </c>
      <c r="AA35">
        <v>0</v>
      </c>
    </row>
    <row r="36" spans="3:27">
      <c r="C36">
        <v>2019</v>
      </c>
      <c r="D36">
        <v>110</v>
      </c>
      <c r="E36">
        <v>110</v>
      </c>
      <c r="F36">
        <v>110</v>
      </c>
      <c r="G36">
        <v>80</v>
      </c>
      <c r="H36">
        <v>50</v>
      </c>
      <c r="I36">
        <v>80</v>
      </c>
      <c r="J36">
        <v>147</v>
      </c>
      <c r="K36">
        <v>147</v>
      </c>
      <c r="L36">
        <v>0</v>
      </c>
      <c r="M36">
        <v>115</v>
      </c>
      <c r="N36">
        <v>115</v>
      </c>
      <c r="O36">
        <v>115</v>
      </c>
      <c r="P36">
        <v>0</v>
      </c>
      <c r="Q36">
        <v>0</v>
      </c>
      <c r="R36">
        <v>0</v>
      </c>
      <c r="S36">
        <v>0</v>
      </c>
      <c r="T36">
        <v>0</v>
      </c>
      <c r="U36">
        <v>0</v>
      </c>
      <c r="V36">
        <v>0</v>
      </c>
      <c r="W36">
        <v>0</v>
      </c>
      <c r="X36">
        <v>0</v>
      </c>
      <c r="Y36">
        <v>0</v>
      </c>
      <c r="Z36">
        <v>0</v>
      </c>
      <c r="AA36">
        <v>0</v>
      </c>
    </row>
    <row r="37" spans="3:27">
      <c r="C37">
        <v>2020</v>
      </c>
      <c r="D37">
        <v>115</v>
      </c>
      <c r="E37">
        <v>115</v>
      </c>
      <c r="F37">
        <v>115</v>
      </c>
      <c r="G37">
        <v>20</v>
      </c>
      <c r="H37">
        <v>75</v>
      </c>
      <c r="I37">
        <v>100</v>
      </c>
      <c r="J37">
        <v>147</v>
      </c>
      <c r="K37">
        <v>147</v>
      </c>
      <c r="L37">
        <v>0</v>
      </c>
      <c r="M37">
        <v>50</v>
      </c>
      <c r="N37">
        <v>55</v>
      </c>
      <c r="O37">
        <v>100</v>
      </c>
      <c r="P37">
        <v>0</v>
      </c>
      <c r="Q37">
        <v>0</v>
      </c>
      <c r="R37">
        <v>0</v>
      </c>
      <c r="S37">
        <v>0</v>
      </c>
      <c r="T37">
        <v>0</v>
      </c>
      <c r="U37">
        <v>0</v>
      </c>
      <c r="V37">
        <v>0</v>
      </c>
      <c r="W37">
        <v>0</v>
      </c>
      <c r="X37">
        <v>0</v>
      </c>
      <c r="Y37">
        <v>0</v>
      </c>
      <c r="Z37">
        <v>0</v>
      </c>
      <c r="AA37">
        <v>0</v>
      </c>
    </row>
    <row r="38" spans="3:27">
      <c r="C38">
        <v>2021</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row>
    <row r="39" spans="3:27" ht="17">
      <c r="D39" t="s">
        <v>201</v>
      </c>
    </row>
    <row r="41" spans="3:27">
      <c r="D41" s="710" t="s">
        <v>204</v>
      </c>
      <c r="E41" s="710"/>
      <c r="F41" s="710"/>
      <c r="G41" s="710" t="s">
        <v>205</v>
      </c>
      <c r="H41" s="710"/>
      <c r="I41" s="712"/>
      <c r="J41" s="710" t="s">
        <v>206</v>
      </c>
      <c r="K41" s="710"/>
      <c r="L41" s="710"/>
      <c r="M41" s="710" t="s">
        <v>207</v>
      </c>
      <c r="N41" s="710"/>
      <c r="O41" s="712"/>
      <c r="P41" s="710" t="s">
        <v>208</v>
      </c>
      <c r="Q41" s="710"/>
      <c r="R41" s="710"/>
      <c r="S41" s="710" t="s">
        <v>209</v>
      </c>
      <c r="T41" s="710"/>
      <c r="U41" s="712"/>
      <c r="V41" s="710" t="s">
        <v>210</v>
      </c>
      <c r="W41" s="710"/>
      <c r="X41" s="710"/>
      <c r="Y41" s="710" t="s">
        <v>211</v>
      </c>
      <c r="Z41" s="710"/>
      <c r="AA41" s="712"/>
    </row>
    <row r="42" spans="3:27">
      <c r="C42" s="273" t="s">
        <v>199</v>
      </c>
      <c r="D42" s="275" t="s">
        <v>138</v>
      </c>
      <c r="E42" s="275" t="s">
        <v>203</v>
      </c>
      <c r="F42" s="275" t="s">
        <v>135</v>
      </c>
      <c r="G42" s="275" t="s">
        <v>138</v>
      </c>
      <c r="H42" s="275" t="s">
        <v>203</v>
      </c>
      <c r="I42" s="277" t="s">
        <v>135</v>
      </c>
      <c r="J42" s="275" t="s">
        <v>138</v>
      </c>
      <c r="K42" s="275" t="s">
        <v>203</v>
      </c>
      <c r="L42" s="275" t="s">
        <v>135</v>
      </c>
      <c r="M42" s="275" t="s">
        <v>138</v>
      </c>
      <c r="N42" s="275" t="s">
        <v>203</v>
      </c>
      <c r="O42" s="277" t="s">
        <v>135</v>
      </c>
      <c r="P42" s="275" t="s">
        <v>138</v>
      </c>
      <c r="Q42" s="275" t="s">
        <v>203</v>
      </c>
      <c r="R42" s="275" t="s">
        <v>135</v>
      </c>
      <c r="S42" s="275" t="s">
        <v>138</v>
      </c>
      <c r="T42" s="275" t="s">
        <v>203</v>
      </c>
      <c r="U42" s="277" t="s">
        <v>135</v>
      </c>
      <c r="V42" s="275" t="s">
        <v>138</v>
      </c>
      <c r="W42" s="275" t="s">
        <v>203</v>
      </c>
      <c r="X42" s="275" t="s">
        <v>135</v>
      </c>
      <c r="Y42" s="275" t="s">
        <v>138</v>
      </c>
      <c r="Z42" s="275" t="s">
        <v>203</v>
      </c>
      <c r="AA42" s="277" t="s">
        <v>135</v>
      </c>
    </row>
    <row r="43" spans="3:27">
      <c r="C43">
        <v>2018</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row>
    <row r="44" spans="3:27">
      <c r="C44">
        <v>2019</v>
      </c>
      <c r="D44">
        <v>43.82</v>
      </c>
      <c r="E44">
        <v>43.82</v>
      </c>
      <c r="F44">
        <v>43.82</v>
      </c>
      <c r="G44">
        <v>70.819999999999993</v>
      </c>
      <c r="H44">
        <v>70.819999999999993</v>
      </c>
      <c r="I44">
        <v>70.819999999999993</v>
      </c>
      <c r="J44">
        <v>43.82</v>
      </c>
      <c r="K44">
        <v>43.82</v>
      </c>
      <c r="L44">
        <v>43.82</v>
      </c>
      <c r="M44">
        <v>44.43</v>
      </c>
      <c r="N44">
        <v>44.43</v>
      </c>
      <c r="O44">
        <v>44.43</v>
      </c>
      <c r="P44">
        <v>0</v>
      </c>
      <c r="Q44">
        <v>67.69</v>
      </c>
      <c r="R44">
        <v>0</v>
      </c>
      <c r="S44">
        <v>0</v>
      </c>
      <c r="T44">
        <v>80.02</v>
      </c>
      <c r="U44">
        <v>0</v>
      </c>
      <c r="V44" s="339">
        <v>45.6</v>
      </c>
      <c r="W44" s="339">
        <v>0</v>
      </c>
      <c r="X44" s="339">
        <v>45.6</v>
      </c>
      <c r="Y44">
        <v>0</v>
      </c>
      <c r="Z44">
        <v>0</v>
      </c>
      <c r="AA44">
        <v>0</v>
      </c>
    </row>
    <row r="45" spans="3:27">
      <c r="C45">
        <v>2020</v>
      </c>
      <c r="D45">
        <v>55.67</v>
      </c>
      <c r="E45">
        <v>55.67</v>
      </c>
      <c r="F45">
        <v>55.67</v>
      </c>
      <c r="G45">
        <v>38.659999999999997</v>
      </c>
      <c r="H45">
        <v>38.659999999999997</v>
      </c>
      <c r="I45">
        <v>38.659999999999997</v>
      </c>
      <c r="J45">
        <v>49.62</v>
      </c>
      <c r="K45">
        <v>49.62</v>
      </c>
      <c r="L45">
        <v>49.62</v>
      </c>
      <c r="M45">
        <v>36.299999999999997</v>
      </c>
      <c r="N45">
        <v>36.299999999999997</v>
      </c>
      <c r="O45">
        <v>36.299999999999997</v>
      </c>
      <c r="P45">
        <v>0</v>
      </c>
      <c r="Q45">
        <v>49.54</v>
      </c>
      <c r="R45">
        <v>0</v>
      </c>
      <c r="S45">
        <v>0</v>
      </c>
      <c r="T45">
        <v>31.65</v>
      </c>
      <c r="U45">
        <v>0</v>
      </c>
      <c r="V45" s="339">
        <v>78.739999999999995</v>
      </c>
      <c r="W45" s="339">
        <v>0</v>
      </c>
      <c r="X45" s="339">
        <v>78.739999999999995</v>
      </c>
      <c r="Y45">
        <v>0</v>
      </c>
      <c r="Z45">
        <v>0</v>
      </c>
      <c r="AA45">
        <v>0</v>
      </c>
    </row>
    <row r="46" spans="3:27">
      <c r="C46">
        <v>2021</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row>
  </sheetData>
  <mergeCells count="32">
    <mergeCell ref="P7:R7"/>
    <mergeCell ref="S7:U7"/>
    <mergeCell ref="P25:R25"/>
    <mergeCell ref="S25:U25"/>
    <mergeCell ref="V25:X25"/>
    <mergeCell ref="S41:U41"/>
    <mergeCell ref="V41:X41"/>
    <mergeCell ref="Y41:AA41"/>
    <mergeCell ref="V7:X7"/>
    <mergeCell ref="Y7:AA7"/>
    <mergeCell ref="S33:U33"/>
    <mergeCell ref="V33:X33"/>
    <mergeCell ref="Y33:AA33"/>
    <mergeCell ref="Y25:AA25"/>
    <mergeCell ref="D41:F41"/>
    <mergeCell ref="G41:I41"/>
    <mergeCell ref="J41:L41"/>
    <mergeCell ref="M41:O41"/>
    <mergeCell ref="P33:R33"/>
    <mergeCell ref="D33:F33"/>
    <mergeCell ref="G33:I33"/>
    <mergeCell ref="J33:L33"/>
    <mergeCell ref="M33:O33"/>
    <mergeCell ref="P41:R41"/>
    <mergeCell ref="M25:O25"/>
    <mergeCell ref="J7:L7"/>
    <mergeCell ref="M7:O7"/>
    <mergeCell ref="D7:F7"/>
    <mergeCell ref="G7:I7"/>
    <mergeCell ref="D25:F25"/>
    <mergeCell ref="G25:I25"/>
    <mergeCell ref="J25:L25"/>
  </mergeCells>
  <pageMargins left="0.7" right="0.7" top="0.75" bottom="0.75" header="0.3" footer="0.3"/>
  <pageSetup scale="74" fitToWidth="2"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F654-0E64-3744-BC3B-D5825484347E}">
  <sheetPr codeName="Sheet5"/>
  <dimension ref="C1:AA78"/>
  <sheetViews>
    <sheetView workbookViewId="0">
      <selection activeCell="B2" sqref="B2:F2"/>
    </sheetView>
  </sheetViews>
  <sheetFormatPr baseColWidth="10" defaultColWidth="10.83203125" defaultRowHeight="15"/>
  <sheetData>
    <row r="1" s="3" customFormat="1"/>
    <row r="2" s="3" customFormat="1"/>
    <row r="3" s="3" customFormat="1"/>
    <row r="4" s="3" customFormat="1"/>
    <row r="5" s="3" customFormat="1"/>
    <row r="6" s="3" customFormat="1"/>
    <row r="7" s="3" customFormat="1"/>
    <row r="8" s="3" customFormat="1"/>
    <row r="9" s="3" customFormat="1"/>
    <row r="10" s="3" customFormat="1"/>
    <row r="11" s="3" customFormat="1"/>
    <row r="12" s="3" customFormat="1"/>
    <row r="13" s="3" customFormat="1"/>
    <row r="14" s="3" customFormat="1"/>
    <row r="15" s="3" customFormat="1"/>
    <row r="16" s="3" customFormat="1"/>
    <row r="17" s="3" customFormat="1"/>
    <row r="18" s="3" customFormat="1"/>
    <row r="19" s="3" customFormat="1"/>
    <row r="20" s="3" customFormat="1"/>
    <row r="21" s="3" customFormat="1"/>
    <row r="22" s="3" customFormat="1"/>
    <row r="23" s="3" customFormat="1"/>
    <row r="24" s="3" customFormat="1"/>
    <row r="25" s="3" customFormat="1"/>
    <row r="26" s="3" customFormat="1"/>
    <row r="27" s="3" customFormat="1"/>
    <row r="28" s="3" customFormat="1"/>
    <row r="29" s="3" customFormat="1"/>
    <row r="30" s="3" customFormat="1"/>
    <row r="31" s="3" customFormat="1"/>
    <row r="32" s="3" customFormat="1"/>
    <row r="33" spans="3:27" s="3" customFormat="1"/>
    <row r="34" spans="3:27" s="3" customFormat="1"/>
    <row r="35" spans="3:27" s="3" customFormat="1" ht="23">
      <c r="C35" s="301" t="s">
        <v>8</v>
      </c>
      <c r="J35" s="302" t="s">
        <v>8</v>
      </c>
    </row>
    <row r="36" spans="3:27" ht="23">
      <c r="C36" s="281" t="s">
        <v>8</v>
      </c>
      <c r="J36" s="153" t="s">
        <v>8</v>
      </c>
    </row>
    <row r="37" spans="3:27" ht="23">
      <c r="C37" s="281" t="s">
        <v>8</v>
      </c>
    </row>
    <row r="38" spans="3:27" ht="23">
      <c r="C38" s="281" t="s">
        <v>8</v>
      </c>
    </row>
    <row r="40" spans="3:27">
      <c r="I40" s="3"/>
      <c r="J40" s="3"/>
      <c r="K40" s="3"/>
      <c r="L40" s="3"/>
      <c r="M40" s="3"/>
      <c r="N40" s="3"/>
      <c r="O40" s="3"/>
      <c r="P40" s="3"/>
      <c r="Q40" s="3"/>
      <c r="R40" s="3"/>
      <c r="S40" s="3"/>
      <c r="T40" s="3"/>
      <c r="U40" s="3"/>
      <c r="V40" s="3"/>
      <c r="W40" s="3"/>
      <c r="X40" s="3"/>
      <c r="Y40" s="3"/>
      <c r="Z40" s="3"/>
      <c r="AA40" s="3"/>
    </row>
    <row r="41" spans="3:27">
      <c r="I41" s="3"/>
      <c r="J41" s="3"/>
      <c r="K41" s="3"/>
      <c r="L41" s="3"/>
      <c r="M41" s="3"/>
      <c r="N41" s="3"/>
      <c r="O41" s="3"/>
      <c r="P41" s="3"/>
      <c r="Q41" s="3"/>
      <c r="R41" s="3"/>
      <c r="S41" s="3"/>
      <c r="T41" s="3"/>
      <c r="U41" s="3"/>
      <c r="V41" s="3"/>
      <c r="W41" s="3"/>
      <c r="X41" s="3"/>
      <c r="Y41" s="3"/>
      <c r="Z41" s="3"/>
      <c r="AA41" s="3"/>
    </row>
    <row r="42" spans="3:27">
      <c r="F42" t="s">
        <v>228</v>
      </c>
      <c r="G42" t="s">
        <v>229</v>
      </c>
      <c r="I42" s="3"/>
      <c r="J42" s="3"/>
      <c r="K42" s="3"/>
      <c r="L42" s="3"/>
      <c r="M42" s="3"/>
      <c r="N42" s="3"/>
      <c r="O42" s="3"/>
      <c r="P42" s="3"/>
      <c r="Q42" s="3"/>
      <c r="R42" s="3"/>
      <c r="S42" s="3"/>
      <c r="T42" s="3"/>
      <c r="U42" s="3"/>
      <c r="V42" s="3"/>
      <c r="W42" s="3"/>
      <c r="X42" s="3"/>
      <c r="Y42" s="3"/>
      <c r="Z42" s="3"/>
      <c r="AA42" s="3"/>
    </row>
    <row r="43" spans="3:27">
      <c r="E43" t="s">
        <v>241</v>
      </c>
      <c r="F43" s="1">
        <v>2.714013</v>
      </c>
      <c r="G43" s="1">
        <v>2.2527560000000002</v>
      </c>
      <c r="I43" s="3"/>
      <c r="J43" s="3"/>
      <c r="K43" s="3"/>
      <c r="L43" s="3"/>
      <c r="M43" s="3"/>
      <c r="N43" s="3"/>
      <c r="O43" s="3"/>
      <c r="P43" s="3"/>
      <c r="Q43" s="3"/>
      <c r="R43" s="3"/>
      <c r="S43" s="3"/>
      <c r="T43" s="3"/>
      <c r="U43" s="3"/>
      <c r="V43" s="3"/>
      <c r="W43" s="3"/>
      <c r="X43" s="3"/>
      <c r="Y43" s="3"/>
      <c r="Z43" s="3"/>
      <c r="AA43" s="3"/>
    </row>
    <row r="44" spans="3:27">
      <c r="E44" t="s">
        <v>230</v>
      </c>
      <c r="F44" s="299">
        <v>75.319999999999993</v>
      </c>
      <c r="G44" s="299">
        <v>105.54</v>
      </c>
      <c r="I44" s="3"/>
      <c r="J44" s="3"/>
      <c r="K44" s="3"/>
      <c r="L44" s="3"/>
      <c r="M44" s="3"/>
      <c r="N44" s="3"/>
      <c r="O44" s="3"/>
      <c r="P44" s="3"/>
      <c r="Q44" s="3"/>
      <c r="R44" s="3"/>
      <c r="S44" s="3"/>
      <c r="T44" s="3"/>
      <c r="U44" s="3"/>
      <c r="V44" s="3"/>
      <c r="W44" s="3"/>
      <c r="X44" s="3"/>
      <c r="Y44" s="3"/>
      <c r="Z44" s="3"/>
      <c r="AA44" s="3"/>
    </row>
    <row r="45" spans="3:27">
      <c r="E45" t="s">
        <v>238</v>
      </c>
      <c r="F45" s="299">
        <f>'LivestockFencing (2)'!F22</f>
        <v>29.425138461538459</v>
      </c>
      <c r="G45" s="299">
        <f>F45</f>
        <v>29.425138461538459</v>
      </c>
      <c r="I45" s="3"/>
      <c r="J45" s="3"/>
      <c r="K45" s="3"/>
      <c r="L45" s="3"/>
      <c r="M45" s="3"/>
      <c r="N45" s="3"/>
      <c r="O45" s="3"/>
      <c r="P45" s="3"/>
      <c r="Q45" s="3"/>
      <c r="R45" s="3"/>
      <c r="S45" s="3"/>
      <c r="T45" s="3"/>
      <c r="U45" s="3"/>
      <c r="V45" s="3"/>
      <c r="W45" s="3"/>
      <c r="X45" s="3"/>
      <c r="Y45" s="3"/>
      <c r="Z45" s="3"/>
      <c r="AA45" s="3"/>
    </row>
    <row r="46" spans="3:27">
      <c r="E46" t="s">
        <v>231</v>
      </c>
      <c r="F46" s="299">
        <v>15.06</v>
      </c>
      <c r="G46" s="299">
        <v>15.06</v>
      </c>
      <c r="I46" s="3"/>
      <c r="J46" s="3"/>
      <c r="K46" s="3"/>
      <c r="L46" s="3"/>
      <c r="M46" s="3"/>
      <c r="N46" s="3"/>
      <c r="O46" s="3"/>
      <c r="P46" s="3"/>
      <c r="Q46" s="3"/>
      <c r="R46" s="3"/>
      <c r="S46" s="3"/>
      <c r="T46" s="3"/>
      <c r="U46" s="3"/>
      <c r="V46" s="3"/>
      <c r="W46" s="3"/>
      <c r="X46" s="3"/>
      <c r="Y46" s="3"/>
      <c r="Z46" s="3"/>
      <c r="AA46" s="3"/>
    </row>
    <row r="47" spans="3:27">
      <c r="I47" s="3"/>
      <c r="J47" s="3"/>
      <c r="K47" s="3"/>
      <c r="L47" s="3"/>
      <c r="M47" s="3"/>
      <c r="N47" s="3"/>
      <c r="O47" s="3"/>
      <c r="P47" s="3"/>
      <c r="Q47" s="3"/>
      <c r="R47" s="3"/>
      <c r="S47" s="3"/>
      <c r="T47" s="3"/>
      <c r="U47" s="3"/>
      <c r="V47" s="3"/>
      <c r="W47" s="3"/>
      <c r="X47" s="3"/>
      <c r="Y47" s="3"/>
      <c r="Z47" s="3"/>
      <c r="AA47" s="3"/>
    </row>
    <row r="48" spans="3:27">
      <c r="I48" s="3"/>
      <c r="J48" s="3"/>
      <c r="K48" s="3"/>
      <c r="L48" s="3"/>
      <c r="M48" s="3"/>
      <c r="N48" s="3"/>
      <c r="O48" s="3"/>
      <c r="P48" s="3"/>
      <c r="Q48" s="3"/>
      <c r="R48" s="3"/>
      <c r="S48" s="3"/>
      <c r="T48" s="3"/>
      <c r="U48" s="3"/>
      <c r="V48" s="3"/>
      <c r="W48" s="3"/>
      <c r="X48" s="3"/>
      <c r="Y48" s="3"/>
      <c r="Z48" s="3"/>
      <c r="AA48" s="3"/>
    </row>
    <row r="49" spans="9:27">
      <c r="I49" s="3"/>
      <c r="J49" s="3"/>
      <c r="K49" s="3"/>
      <c r="L49" s="3"/>
      <c r="M49" s="3"/>
      <c r="N49" s="3"/>
      <c r="O49" s="3"/>
      <c r="P49" s="3"/>
      <c r="Q49" s="3"/>
      <c r="R49" s="3"/>
      <c r="S49" s="3"/>
      <c r="T49" s="3"/>
      <c r="U49" s="3"/>
      <c r="V49" s="3"/>
      <c r="W49" s="3"/>
      <c r="X49" s="3"/>
      <c r="Y49" s="3"/>
      <c r="Z49" s="3"/>
      <c r="AA49" s="3"/>
    </row>
    <row r="50" spans="9:27">
      <c r="I50" s="3"/>
      <c r="J50" s="3"/>
      <c r="K50" s="3"/>
      <c r="L50" s="3"/>
      <c r="M50" s="3"/>
      <c r="N50" s="3"/>
      <c r="O50" s="3"/>
      <c r="P50" s="3"/>
      <c r="Q50" s="3"/>
      <c r="R50" s="3"/>
      <c r="S50" s="3"/>
      <c r="T50" s="3"/>
      <c r="U50" s="3"/>
      <c r="V50" s="3"/>
      <c r="W50" s="3"/>
      <c r="X50" s="3"/>
      <c r="Y50" s="3"/>
      <c r="Z50" s="3"/>
      <c r="AA50" s="3"/>
    </row>
    <row r="51" spans="9:27">
      <c r="I51" s="3"/>
      <c r="J51" s="3"/>
      <c r="K51" s="3"/>
      <c r="L51" s="3"/>
      <c r="M51" s="3"/>
      <c r="N51" s="3"/>
      <c r="O51" s="3"/>
      <c r="P51" s="3"/>
      <c r="Q51" s="3"/>
      <c r="R51" s="3"/>
      <c r="S51" s="3"/>
      <c r="T51" s="3"/>
      <c r="U51" s="3"/>
      <c r="V51" s="3"/>
      <c r="W51" s="3"/>
      <c r="X51" s="3"/>
      <c r="Y51" s="3"/>
      <c r="Z51" s="3"/>
      <c r="AA51" s="3"/>
    </row>
    <row r="52" spans="9:27">
      <c r="I52" s="3"/>
      <c r="J52" s="3"/>
      <c r="K52" s="3"/>
      <c r="L52" s="3"/>
      <c r="M52" s="3"/>
      <c r="N52" s="3"/>
      <c r="O52" s="3"/>
      <c r="P52" s="3"/>
      <c r="Q52" s="3"/>
      <c r="R52" s="3"/>
      <c r="S52" s="3"/>
      <c r="T52" s="3"/>
      <c r="U52" s="3"/>
      <c r="V52" s="3"/>
      <c r="W52" s="3"/>
      <c r="X52" s="3"/>
      <c r="Y52" s="3"/>
      <c r="Z52" s="3"/>
      <c r="AA52" s="3"/>
    </row>
    <row r="53" spans="9:27">
      <c r="I53" s="3"/>
      <c r="J53" s="3"/>
      <c r="K53" s="3"/>
      <c r="L53" s="3"/>
      <c r="M53" s="3"/>
      <c r="N53" s="3"/>
      <c r="O53" s="3"/>
      <c r="P53" s="3"/>
      <c r="Q53" s="3"/>
      <c r="R53" s="3"/>
      <c r="S53" s="3"/>
      <c r="T53" s="3"/>
      <c r="U53" s="3"/>
      <c r="V53" s="3"/>
      <c r="W53" s="3"/>
      <c r="X53" s="3"/>
      <c r="Y53" s="3"/>
      <c r="Z53" s="3"/>
      <c r="AA53" s="3"/>
    </row>
    <row r="54" spans="9:27">
      <c r="I54" s="3"/>
      <c r="J54" s="3"/>
      <c r="K54" s="3"/>
      <c r="L54" s="3"/>
      <c r="M54" s="3"/>
      <c r="N54" s="3"/>
      <c r="O54" s="3"/>
      <c r="P54" s="3"/>
      <c r="Q54" s="3"/>
      <c r="R54" s="3"/>
      <c r="S54" s="3"/>
      <c r="T54" s="3"/>
      <c r="U54" s="3"/>
      <c r="V54" s="3"/>
      <c r="W54" s="3"/>
      <c r="X54" s="3"/>
      <c r="Y54" s="3"/>
      <c r="Z54" s="3"/>
      <c r="AA54" s="3"/>
    </row>
    <row r="55" spans="9:27">
      <c r="I55" s="3"/>
      <c r="J55" s="3"/>
      <c r="K55" s="3"/>
      <c r="L55" s="3"/>
      <c r="M55" s="3"/>
      <c r="N55" s="3"/>
      <c r="O55" s="3"/>
      <c r="P55" s="3"/>
      <c r="Q55" s="3"/>
      <c r="R55" s="3"/>
      <c r="S55" s="3"/>
      <c r="T55" s="3"/>
      <c r="U55" s="3"/>
      <c r="V55" s="3"/>
      <c r="W55" s="3"/>
      <c r="X55" s="3"/>
      <c r="Y55" s="3"/>
      <c r="Z55" s="3"/>
      <c r="AA55" s="3"/>
    </row>
    <row r="56" spans="9:27">
      <c r="I56" s="3"/>
      <c r="J56" s="3"/>
      <c r="K56" s="3"/>
      <c r="L56" s="3"/>
      <c r="M56" s="3"/>
      <c r="N56" s="3"/>
      <c r="O56" s="3"/>
      <c r="P56" s="3"/>
      <c r="Q56" s="3"/>
      <c r="R56" s="3"/>
      <c r="S56" s="3"/>
      <c r="T56" s="3"/>
      <c r="U56" s="3"/>
      <c r="V56" s="3"/>
      <c r="W56" s="3"/>
      <c r="X56" s="3"/>
      <c r="Y56" s="3"/>
      <c r="Z56" s="3"/>
      <c r="AA56" s="3"/>
    </row>
    <row r="57" spans="9:27">
      <c r="I57" s="3"/>
      <c r="J57" s="3"/>
      <c r="K57" s="3"/>
      <c r="L57" s="3"/>
      <c r="M57" s="3"/>
      <c r="N57" s="3"/>
      <c r="O57" s="3"/>
      <c r="P57" s="3"/>
      <c r="Q57" s="3"/>
      <c r="R57" s="3"/>
      <c r="S57" s="3"/>
      <c r="T57" s="3"/>
      <c r="U57" s="3"/>
      <c r="V57" s="3"/>
      <c r="W57" s="3"/>
      <c r="X57" s="3"/>
      <c r="Y57" s="3"/>
      <c r="Z57" s="3"/>
      <c r="AA57" s="3"/>
    </row>
    <row r="58" spans="9:27">
      <c r="I58" s="3"/>
      <c r="J58" s="3"/>
      <c r="K58" s="3"/>
      <c r="L58" s="3"/>
      <c r="M58" s="3"/>
      <c r="N58" s="3"/>
      <c r="O58" s="3"/>
      <c r="P58" s="3"/>
      <c r="Q58" s="3"/>
      <c r="R58" s="3"/>
      <c r="S58" s="3"/>
      <c r="T58" s="3"/>
      <c r="U58" s="3"/>
      <c r="V58" s="3"/>
      <c r="W58" s="3"/>
      <c r="X58" s="3"/>
      <c r="Y58" s="3"/>
      <c r="Z58" s="3"/>
      <c r="AA58" s="3"/>
    </row>
    <row r="59" spans="9:27">
      <c r="I59" s="3"/>
      <c r="J59" s="3"/>
      <c r="K59" s="3"/>
      <c r="L59" s="3"/>
      <c r="M59" s="3"/>
      <c r="N59" s="3"/>
      <c r="O59" s="3"/>
      <c r="P59" s="3"/>
      <c r="Q59" s="3"/>
      <c r="R59" s="3"/>
      <c r="S59" s="3"/>
      <c r="T59" s="3"/>
      <c r="U59" s="3"/>
      <c r="V59" s="3"/>
      <c r="W59" s="3"/>
      <c r="X59" s="3"/>
      <c r="Y59" s="3"/>
      <c r="Z59" s="3"/>
      <c r="AA59" s="3"/>
    </row>
    <row r="60" spans="9:27">
      <c r="I60" s="3"/>
      <c r="J60" s="3"/>
      <c r="K60" s="3"/>
      <c r="L60" s="3"/>
      <c r="M60" s="3"/>
      <c r="N60" s="3"/>
      <c r="O60" s="3"/>
      <c r="P60" s="3"/>
      <c r="Q60" s="3"/>
      <c r="R60" s="3"/>
      <c r="S60" s="3"/>
      <c r="T60" s="3"/>
      <c r="U60" s="3"/>
      <c r="V60" s="3"/>
      <c r="W60" s="3"/>
      <c r="X60" s="3"/>
      <c r="Y60" s="3"/>
      <c r="Z60" s="3"/>
      <c r="AA60" s="3"/>
    </row>
    <row r="61" spans="9:27">
      <c r="I61" s="3"/>
      <c r="J61" s="3"/>
      <c r="K61" s="3"/>
      <c r="L61" s="3"/>
      <c r="M61" s="3"/>
      <c r="N61" s="3"/>
      <c r="O61" s="3"/>
      <c r="P61" s="3"/>
      <c r="Q61" s="3"/>
      <c r="R61" s="3"/>
      <c r="S61" s="3"/>
      <c r="T61" s="3"/>
      <c r="U61" s="3"/>
      <c r="V61" s="3"/>
      <c r="W61" s="3"/>
      <c r="X61" s="3"/>
      <c r="Y61" s="3"/>
      <c r="Z61" s="3"/>
      <c r="AA61" s="3"/>
    </row>
    <row r="62" spans="9:27">
      <c r="I62" s="3"/>
      <c r="J62" s="3"/>
      <c r="K62" s="3"/>
      <c r="L62" s="3"/>
      <c r="M62" s="3"/>
      <c r="N62" s="3"/>
      <c r="O62" s="3"/>
      <c r="P62" s="3"/>
      <c r="Q62" s="3"/>
      <c r="R62" s="3"/>
      <c r="S62" s="3"/>
      <c r="T62" s="3"/>
      <c r="U62" s="3"/>
      <c r="V62" s="3"/>
      <c r="W62" s="3"/>
      <c r="X62" s="3"/>
      <c r="Y62" s="3"/>
      <c r="Z62" s="3"/>
      <c r="AA62" s="3"/>
    </row>
    <row r="63" spans="9:27">
      <c r="I63" s="3"/>
      <c r="J63" s="3"/>
      <c r="K63" s="3"/>
      <c r="L63" s="3"/>
      <c r="M63" s="3"/>
      <c r="N63" s="3"/>
      <c r="O63" s="3"/>
      <c r="P63" s="3"/>
      <c r="Q63" s="3"/>
      <c r="R63" s="3"/>
      <c r="S63" s="3"/>
      <c r="T63" s="3"/>
      <c r="U63" s="3"/>
      <c r="V63" s="3"/>
      <c r="W63" s="3"/>
      <c r="X63" s="3"/>
      <c r="Y63" s="3"/>
      <c r="Z63" s="3"/>
      <c r="AA63" s="3"/>
    </row>
    <row r="64" spans="9:27">
      <c r="I64" s="3"/>
      <c r="J64" s="3"/>
      <c r="K64" s="3"/>
      <c r="L64" s="3"/>
      <c r="M64" s="3"/>
      <c r="N64" s="3"/>
      <c r="O64" s="3"/>
      <c r="P64" s="3"/>
      <c r="Q64" s="3"/>
      <c r="R64" s="3"/>
      <c r="S64" s="3"/>
      <c r="T64" s="3"/>
      <c r="U64" s="3"/>
      <c r="V64" s="3"/>
      <c r="W64" s="3"/>
      <c r="X64" s="3"/>
      <c r="Y64" s="3"/>
      <c r="Z64" s="3"/>
      <c r="AA64" s="3"/>
    </row>
    <row r="65" spans="9:27">
      <c r="I65" s="3"/>
      <c r="J65" s="3"/>
      <c r="K65" s="3"/>
      <c r="L65" s="3"/>
      <c r="M65" s="3"/>
      <c r="N65" s="3"/>
      <c r="O65" s="3"/>
      <c r="P65" s="3"/>
      <c r="Q65" s="3"/>
      <c r="R65" s="3"/>
      <c r="S65" s="3"/>
      <c r="T65" s="3"/>
      <c r="U65" s="3"/>
      <c r="V65" s="3"/>
      <c r="W65" s="3"/>
      <c r="X65" s="3"/>
      <c r="Y65" s="3"/>
      <c r="Z65" s="3"/>
      <c r="AA65" s="3"/>
    </row>
    <row r="66" spans="9:27">
      <c r="I66" s="3"/>
      <c r="J66" s="3"/>
      <c r="K66" s="3"/>
      <c r="L66" s="3"/>
      <c r="M66" s="3"/>
      <c r="N66" s="3"/>
      <c r="O66" s="3"/>
      <c r="P66" s="3"/>
      <c r="Q66" s="3"/>
      <c r="R66" s="3"/>
      <c r="S66" s="3"/>
      <c r="T66" s="3"/>
      <c r="U66" s="3"/>
      <c r="V66" s="3"/>
      <c r="W66" s="3"/>
      <c r="X66" s="3"/>
      <c r="Y66" s="3"/>
      <c r="Z66" s="3"/>
      <c r="AA66" s="3"/>
    </row>
    <row r="67" spans="9:27">
      <c r="I67" s="3"/>
      <c r="J67" s="3"/>
      <c r="K67" s="3"/>
      <c r="L67" s="3"/>
      <c r="M67" s="3"/>
      <c r="N67" s="3"/>
      <c r="O67" s="3"/>
      <c r="P67" s="3"/>
      <c r="Q67" s="3"/>
      <c r="R67" s="3"/>
      <c r="S67" s="3"/>
      <c r="T67" s="3"/>
      <c r="U67" s="3"/>
      <c r="V67" s="3"/>
      <c r="W67" s="3"/>
      <c r="X67" s="3"/>
      <c r="Y67" s="3"/>
      <c r="Z67" s="3"/>
      <c r="AA67" s="3"/>
    </row>
    <row r="68" spans="9:27">
      <c r="I68" s="3"/>
      <c r="J68" s="3"/>
      <c r="K68" s="3"/>
      <c r="L68" s="3"/>
      <c r="M68" s="3"/>
      <c r="N68" s="3"/>
      <c r="O68" s="3"/>
      <c r="P68" s="3"/>
      <c r="Q68" s="3"/>
      <c r="R68" s="3"/>
      <c r="S68" s="3"/>
      <c r="T68" s="3"/>
      <c r="U68" s="3"/>
      <c r="V68" s="3"/>
      <c r="W68" s="3"/>
      <c r="X68" s="3"/>
      <c r="Y68" s="3"/>
      <c r="Z68" s="3"/>
      <c r="AA68" s="3"/>
    </row>
    <row r="69" spans="9:27">
      <c r="I69" s="3"/>
      <c r="J69" s="3"/>
      <c r="K69" s="3"/>
      <c r="L69" s="3"/>
      <c r="M69" s="3"/>
      <c r="N69" s="3"/>
      <c r="O69" s="3"/>
      <c r="P69" s="3"/>
      <c r="Q69" s="3"/>
      <c r="R69" s="3"/>
      <c r="S69" s="3"/>
      <c r="T69" s="3"/>
      <c r="U69" s="3"/>
      <c r="V69" s="3"/>
      <c r="W69" s="3"/>
      <c r="X69" s="3"/>
      <c r="Y69" s="3"/>
      <c r="Z69" s="3"/>
      <c r="AA69" s="3"/>
    </row>
    <row r="70" spans="9:27">
      <c r="I70" s="3"/>
      <c r="J70" s="3"/>
      <c r="K70" s="3"/>
      <c r="L70" s="3"/>
      <c r="M70" s="3"/>
      <c r="N70" s="3"/>
      <c r="O70" s="3"/>
      <c r="P70" s="3"/>
      <c r="Q70" s="3"/>
      <c r="R70" s="3"/>
      <c r="S70" s="3"/>
      <c r="T70" s="3"/>
      <c r="U70" s="3"/>
      <c r="V70" s="3"/>
      <c r="W70" s="3"/>
      <c r="X70" s="3"/>
      <c r="Y70" s="3"/>
      <c r="Z70" s="3"/>
      <c r="AA70" s="3"/>
    </row>
    <row r="71" spans="9:27">
      <c r="I71" s="3"/>
      <c r="J71" s="3"/>
      <c r="K71" s="3"/>
      <c r="L71" s="3"/>
      <c r="M71" s="3"/>
      <c r="N71" s="3"/>
      <c r="O71" s="3"/>
      <c r="P71" s="3"/>
      <c r="Q71" s="3"/>
      <c r="R71" s="3"/>
      <c r="S71" s="3"/>
      <c r="T71" s="3"/>
      <c r="U71" s="3"/>
      <c r="V71" s="3"/>
      <c r="W71" s="3"/>
      <c r="X71" s="3"/>
      <c r="Y71" s="3"/>
      <c r="Z71" s="3"/>
      <c r="AA71" s="3"/>
    </row>
    <row r="72" spans="9:27">
      <c r="I72" s="3"/>
      <c r="J72" s="3"/>
      <c r="K72" s="3"/>
      <c r="L72" s="3"/>
      <c r="M72" s="3"/>
      <c r="N72" s="3"/>
      <c r="O72" s="3"/>
      <c r="P72" s="3"/>
      <c r="Q72" s="3"/>
      <c r="R72" s="3"/>
      <c r="S72" s="3"/>
      <c r="T72" s="3"/>
      <c r="U72" s="3"/>
      <c r="V72" s="3"/>
      <c r="W72" s="3"/>
      <c r="X72" s="3"/>
      <c r="Y72" s="3"/>
      <c r="Z72" s="3"/>
      <c r="AA72" s="3"/>
    </row>
    <row r="73" spans="9:27">
      <c r="I73" s="3"/>
      <c r="J73" s="3"/>
      <c r="K73" s="3"/>
      <c r="L73" s="3"/>
      <c r="M73" s="3"/>
      <c r="N73" s="3"/>
      <c r="O73" s="3"/>
      <c r="P73" s="3"/>
      <c r="Q73" s="3"/>
      <c r="R73" s="3"/>
      <c r="S73" s="3"/>
      <c r="T73" s="3"/>
      <c r="U73" s="3"/>
      <c r="V73" s="3"/>
      <c r="W73" s="3"/>
      <c r="X73" s="3"/>
      <c r="Y73" s="3"/>
      <c r="Z73" s="3"/>
      <c r="AA73" s="3"/>
    </row>
    <row r="74" spans="9:27" ht="24">
      <c r="I74" s="3"/>
      <c r="J74" s="713" t="s">
        <v>239</v>
      </c>
      <c r="K74" s="713"/>
      <c r="L74" s="713"/>
      <c r="M74" s="713"/>
      <c r="N74" s="713"/>
      <c r="O74" s="713"/>
      <c r="P74" s="713"/>
      <c r="Q74" s="713"/>
      <c r="R74" s="713"/>
      <c r="S74" s="713"/>
      <c r="T74" s="713"/>
      <c r="U74" s="713"/>
      <c r="V74" s="713"/>
      <c r="W74" s="713"/>
      <c r="X74" s="713"/>
      <c r="Y74" s="713"/>
      <c r="Z74" s="3"/>
      <c r="AA74" s="3"/>
    </row>
    <row r="75" spans="9:27" ht="24" customHeight="1">
      <c r="I75" s="3"/>
      <c r="J75" s="587" t="s">
        <v>240</v>
      </c>
      <c r="K75" s="587"/>
      <c r="L75" s="587"/>
      <c r="M75" s="587"/>
      <c r="N75" s="587"/>
      <c r="O75" s="587"/>
      <c r="P75" s="587"/>
      <c r="Q75" s="587"/>
      <c r="R75" s="587"/>
      <c r="S75" s="587"/>
      <c r="T75" s="587"/>
      <c r="U75" s="587"/>
      <c r="V75" s="587"/>
      <c r="W75" s="587"/>
      <c r="X75" s="587"/>
      <c r="Y75" s="587"/>
      <c r="Z75" s="3"/>
      <c r="AA75" s="3"/>
    </row>
    <row r="76" spans="9:27">
      <c r="I76" s="3"/>
      <c r="J76" s="587"/>
      <c r="K76" s="587"/>
      <c r="L76" s="587"/>
      <c r="M76" s="587"/>
      <c r="N76" s="587"/>
      <c r="O76" s="587"/>
      <c r="P76" s="587"/>
      <c r="Q76" s="587"/>
      <c r="R76" s="587"/>
      <c r="S76" s="587"/>
      <c r="T76" s="587"/>
      <c r="U76" s="587"/>
      <c r="V76" s="587"/>
      <c r="W76" s="587"/>
      <c r="X76" s="587"/>
      <c r="Y76" s="587"/>
      <c r="Z76" s="3"/>
      <c r="AA76" s="3"/>
    </row>
    <row r="77" spans="9:27">
      <c r="I77" s="3"/>
      <c r="J77" s="3"/>
      <c r="K77" s="3"/>
      <c r="L77" s="3"/>
      <c r="M77" s="3"/>
      <c r="N77" s="3"/>
      <c r="O77" s="3"/>
      <c r="P77" s="3"/>
      <c r="Q77" s="3"/>
      <c r="R77" s="3"/>
      <c r="S77" s="3"/>
      <c r="T77" s="3"/>
      <c r="U77" s="3"/>
      <c r="V77" s="3"/>
      <c r="W77" s="3"/>
      <c r="X77" s="3"/>
      <c r="Y77" s="3"/>
      <c r="Z77" s="3"/>
      <c r="AA77" s="3"/>
    </row>
    <row r="78" spans="9:27">
      <c r="I78" s="3"/>
      <c r="J78" s="3"/>
      <c r="K78" s="3"/>
      <c r="L78" s="3"/>
      <c r="M78" s="3"/>
      <c r="N78" s="3"/>
      <c r="O78" s="3"/>
      <c r="P78" s="3"/>
      <c r="Q78" s="3"/>
      <c r="R78" s="3"/>
      <c r="S78" s="3"/>
      <c r="T78" s="3"/>
      <c r="U78" s="3"/>
      <c r="V78" s="3"/>
      <c r="W78" s="3"/>
      <c r="X78" s="3"/>
      <c r="Y78" s="3"/>
      <c r="Z78" s="3"/>
      <c r="AA78" s="3"/>
    </row>
  </sheetData>
  <mergeCells count="2">
    <mergeCell ref="J75:Y76"/>
    <mergeCell ref="J74:Y74"/>
  </mergeCells>
  <phoneticPr fontId="61" type="noConversion"/>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41F2-CE7B-C444-99D5-A013044DF7BD}">
  <sheetPr codeName="Sheet48">
    <pageSetUpPr fitToPage="1"/>
  </sheetPr>
  <dimension ref="A1:G30"/>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30.5" customWidth="1"/>
    <col min="4" max="4" width="12.6640625" bestFit="1" customWidth="1"/>
    <col min="5" max="5" width="11.5" bestFit="1" customWidth="1"/>
    <col min="6" max="6" width="13.5" customWidth="1"/>
  </cols>
  <sheetData>
    <row r="1" spans="1:7">
      <c r="A1" s="3"/>
      <c r="B1" s="3"/>
      <c r="C1" s="3"/>
      <c r="D1" s="3"/>
      <c r="E1" s="3"/>
      <c r="F1" s="3"/>
      <c r="G1" s="3"/>
    </row>
    <row r="2" spans="1:7">
      <c r="A2" s="3"/>
      <c r="B2" s="3"/>
      <c r="C2" s="3"/>
      <c r="D2" s="3"/>
      <c r="E2" s="3"/>
      <c r="F2" s="3"/>
      <c r="G2" s="3"/>
    </row>
    <row r="3" spans="1:7">
      <c r="A3" s="3"/>
      <c r="B3" s="3"/>
      <c r="C3" s="3"/>
      <c r="D3" s="3"/>
      <c r="E3" s="3"/>
      <c r="F3" s="3"/>
      <c r="G3" s="3"/>
    </row>
    <row r="4" spans="1:7" ht="20">
      <c r="A4" s="5"/>
      <c r="B4" s="589" t="s">
        <v>242</v>
      </c>
      <c r="C4" s="589"/>
      <c r="D4" s="589"/>
      <c r="E4" s="589"/>
      <c r="F4" s="589"/>
      <c r="G4" s="3"/>
    </row>
    <row r="5" spans="1:7" ht="20">
      <c r="A5" s="5"/>
      <c r="B5" s="5" t="s">
        <v>148</v>
      </c>
      <c r="C5" s="5"/>
      <c r="D5" s="5"/>
      <c r="E5" s="5"/>
      <c r="F5" s="289">
        <v>65</v>
      </c>
      <c r="G5" s="3"/>
    </row>
    <row r="6" spans="1:7" ht="20">
      <c r="A6" s="5"/>
      <c r="B6" s="5" t="s">
        <v>182</v>
      </c>
      <c r="C6" s="42"/>
      <c r="D6" s="42"/>
      <c r="E6" s="42"/>
      <c r="F6" s="290">
        <v>5</v>
      </c>
      <c r="G6" s="3"/>
    </row>
    <row r="7" spans="1:7" ht="20">
      <c r="A7" s="29"/>
      <c r="B7" s="132" t="s">
        <v>147</v>
      </c>
      <c r="C7" s="133" t="s">
        <v>3</v>
      </c>
      <c r="D7" s="133" t="s">
        <v>2</v>
      </c>
      <c r="E7" s="133" t="s">
        <v>12</v>
      </c>
      <c r="F7" s="7" t="s">
        <v>6</v>
      </c>
      <c r="G7" s="3"/>
    </row>
    <row r="8" spans="1:7" ht="20">
      <c r="A8" s="29"/>
      <c r="B8" s="255" t="s">
        <v>222</v>
      </c>
      <c r="C8" s="256"/>
      <c r="D8" s="257"/>
      <c r="E8" s="258"/>
      <c r="F8" s="259"/>
      <c r="G8" s="3"/>
    </row>
    <row r="9" spans="1:7" ht="21" customHeight="1">
      <c r="A9" s="5"/>
      <c r="B9" s="11" t="s">
        <v>149</v>
      </c>
      <c r="C9" s="11"/>
      <c r="D9" s="283">
        <v>180</v>
      </c>
      <c r="E9" s="76">
        <v>4.29</v>
      </c>
      <c r="F9" s="254">
        <f>IF((D9*E9)&lt;0,0,D9*E9)</f>
        <v>772.2</v>
      </c>
      <c r="G9" s="3"/>
    </row>
    <row r="10" spans="1:7" ht="20">
      <c r="A10" s="30"/>
      <c r="B10" s="11" t="s">
        <v>150</v>
      </c>
      <c r="C10" s="284" t="s">
        <v>151</v>
      </c>
      <c r="D10" s="283">
        <v>7</v>
      </c>
      <c r="E10" s="76">
        <v>155.99</v>
      </c>
      <c r="F10" s="254">
        <f t="shared" ref="F10:F19" si="0">IF((D10*E10)&lt;0,0,D10*E10)</f>
        <v>1091.93</v>
      </c>
      <c r="G10" s="3"/>
    </row>
    <row r="11" spans="1:7" ht="20">
      <c r="A11" s="130"/>
      <c r="B11" s="11" t="s">
        <v>152</v>
      </c>
      <c r="C11" s="285" t="s">
        <v>153</v>
      </c>
      <c r="D11" s="283">
        <v>50</v>
      </c>
      <c r="E11" s="76">
        <v>4.79</v>
      </c>
      <c r="F11" s="254">
        <f t="shared" si="0"/>
        <v>239.5</v>
      </c>
      <c r="G11" s="3"/>
    </row>
    <row r="12" spans="1:7" ht="20">
      <c r="A12" s="131"/>
      <c r="B12" s="11" t="s">
        <v>154</v>
      </c>
      <c r="C12" s="285" t="s">
        <v>155</v>
      </c>
      <c r="D12" s="283">
        <v>8</v>
      </c>
      <c r="E12" s="76">
        <v>12.89</v>
      </c>
      <c r="F12" s="254">
        <f t="shared" si="0"/>
        <v>103.12</v>
      </c>
      <c r="G12" s="3"/>
    </row>
    <row r="13" spans="1:7" ht="20">
      <c r="A13" s="4"/>
      <c r="B13" s="11" t="s">
        <v>156</v>
      </c>
      <c r="C13" s="158"/>
      <c r="D13" s="283">
        <v>1</v>
      </c>
      <c r="E13" s="76">
        <v>59.99</v>
      </c>
      <c r="F13" s="254">
        <f t="shared" si="0"/>
        <v>59.99</v>
      </c>
      <c r="G13" s="3"/>
    </row>
    <row r="14" spans="1:7" ht="20">
      <c r="A14" s="4"/>
      <c r="B14" s="286" t="s">
        <v>157</v>
      </c>
      <c r="C14" s="287"/>
      <c r="D14" s="283">
        <v>3</v>
      </c>
      <c r="E14" s="76">
        <v>36.99</v>
      </c>
      <c r="F14" s="254">
        <f t="shared" si="0"/>
        <v>110.97</v>
      </c>
      <c r="G14" s="3"/>
    </row>
    <row r="15" spans="1:7" ht="20">
      <c r="A15" s="4"/>
      <c r="B15" s="286" t="s">
        <v>158</v>
      </c>
      <c r="C15" s="287"/>
      <c r="D15" s="283">
        <v>1</v>
      </c>
      <c r="E15" s="76">
        <v>185.46</v>
      </c>
      <c r="F15" s="254">
        <f t="shared" si="0"/>
        <v>185.46</v>
      </c>
      <c r="G15" s="3"/>
    </row>
    <row r="16" spans="1:7" ht="20">
      <c r="A16" s="4"/>
      <c r="B16" s="288" t="s">
        <v>160</v>
      </c>
      <c r="C16" s="287" t="s">
        <v>165</v>
      </c>
      <c r="D16" s="283">
        <v>1</v>
      </c>
      <c r="E16" s="76">
        <v>500</v>
      </c>
      <c r="F16" s="254">
        <f t="shared" si="0"/>
        <v>500</v>
      </c>
      <c r="G16" s="3"/>
    </row>
    <row r="17" spans="1:7" ht="20">
      <c r="A17" s="4"/>
      <c r="B17" s="255" t="s">
        <v>183</v>
      </c>
      <c r="C17" s="256"/>
      <c r="D17" s="257"/>
      <c r="E17" s="258"/>
      <c r="F17" s="259"/>
      <c r="G17" s="3"/>
    </row>
    <row r="18" spans="1:7" ht="20">
      <c r="A18" s="4"/>
      <c r="B18" s="288" t="s">
        <v>164</v>
      </c>
      <c r="C18" s="287" t="s">
        <v>163</v>
      </c>
      <c r="D18" s="283">
        <v>20</v>
      </c>
      <c r="E18" s="76">
        <v>15</v>
      </c>
      <c r="F18" s="254">
        <f t="shared" si="0"/>
        <v>300</v>
      </c>
      <c r="G18" s="3"/>
    </row>
    <row r="19" spans="1:7" ht="20">
      <c r="A19" s="4"/>
      <c r="B19" s="288" t="s">
        <v>161</v>
      </c>
      <c r="C19" s="287" t="s">
        <v>162</v>
      </c>
      <c r="D19" s="283">
        <v>2000</v>
      </c>
      <c r="E19" s="76">
        <v>0.5</v>
      </c>
      <c r="F19" s="260">
        <f t="shared" si="0"/>
        <v>1000</v>
      </c>
      <c r="G19" s="3"/>
    </row>
    <row r="20" spans="1:7" ht="20">
      <c r="A20" s="4"/>
      <c r="B20" s="291" t="s">
        <v>91</v>
      </c>
      <c r="C20" s="291"/>
      <c r="D20" s="30" t="s">
        <v>8</v>
      </c>
      <c r="E20" s="292" t="s">
        <v>8</v>
      </c>
      <c r="F20" s="293">
        <f>SUM(F9:F19)</f>
        <v>4363.17</v>
      </c>
      <c r="G20" s="3"/>
    </row>
    <row r="21" spans="1:7" ht="20">
      <c r="A21" s="4"/>
      <c r="B21" s="291" t="s">
        <v>159</v>
      </c>
      <c r="C21" s="291"/>
      <c r="D21" s="30" t="s">
        <v>8</v>
      </c>
      <c r="E21" s="292" t="s">
        <v>8</v>
      </c>
      <c r="F21" s="294">
        <f>F20/F5</f>
        <v>67.125692307692304</v>
      </c>
      <c r="G21" s="3"/>
    </row>
    <row r="22" spans="1:7" ht="20">
      <c r="A22" s="3"/>
      <c r="B22" s="295" t="s">
        <v>223</v>
      </c>
      <c r="C22" s="295"/>
      <c r="D22" s="296" t="s">
        <v>8</v>
      </c>
      <c r="E22" s="297" t="s">
        <v>8</v>
      </c>
      <c r="F22" s="298">
        <f>((SUM(F9:F16)/F5)/F6)+((F18+F19)/F5)</f>
        <v>29.425138461538459</v>
      </c>
      <c r="G22" s="3"/>
    </row>
    <row r="23" spans="1:7">
      <c r="A23" s="3"/>
      <c r="B23" s="3"/>
      <c r="C23" s="3"/>
      <c r="D23" s="3"/>
      <c r="E23" s="3"/>
      <c r="F23" s="3"/>
      <c r="G23" s="3"/>
    </row>
    <row r="24" spans="1:7">
      <c r="A24" s="3"/>
      <c r="B24" s="3"/>
      <c r="C24" s="3"/>
      <c r="D24" s="3"/>
      <c r="E24" s="3"/>
      <c r="F24" s="3"/>
      <c r="G24" s="3"/>
    </row>
    <row r="26" spans="1:7">
      <c r="B26" s="300" t="s">
        <v>224</v>
      </c>
    </row>
    <row r="27" spans="1:7">
      <c r="B27" t="s">
        <v>225</v>
      </c>
    </row>
    <row r="29" spans="1:7">
      <c r="B29" s="153" t="s">
        <v>226</v>
      </c>
    </row>
    <row r="30" spans="1:7">
      <c r="B30" s="153" t="s">
        <v>227</v>
      </c>
    </row>
  </sheetData>
  <mergeCells count="1">
    <mergeCell ref="B4:F4"/>
  </mergeCells>
  <hyperlinks>
    <hyperlink ref="B26" r:id="rId1" xr:uid="{1150C723-A9FB-F745-B1F3-00BA02948BE9}"/>
  </hyperlinks>
  <pageMargins left="0.7" right="0.7" top="0.75" bottom="0.75" header="0.3" footer="0.3"/>
  <pageSetup scale="41"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D40A-551A-7643-939E-C76E22A03140}">
  <sheetPr codeName="Sheet38">
    <pageSetUpPr fitToPage="1"/>
  </sheetPr>
  <dimension ref="A1:AP33"/>
  <sheetViews>
    <sheetView topLeftCell="C1" zoomScale="110" zoomScaleNormal="110" workbookViewId="0">
      <selection activeCell="B2" sqref="B2:F2"/>
    </sheetView>
  </sheetViews>
  <sheetFormatPr baseColWidth="10" defaultColWidth="10.83203125" defaultRowHeight="15"/>
  <cols>
    <col min="1" max="1" width="5.6640625" customWidth="1"/>
    <col min="2" max="2" width="53.1640625" customWidth="1"/>
    <col min="3" max="8" width="12.83203125" customWidth="1"/>
    <col min="9" max="10" width="14.1640625" bestFit="1" customWidth="1"/>
    <col min="11" max="11" width="13.5" customWidth="1"/>
    <col min="12" max="13" width="14.1640625" customWidth="1"/>
    <col min="14" max="14" width="12.1640625" customWidth="1"/>
    <col min="15" max="18" width="12.83203125" customWidth="1"/>
    <col min="19" max="23" width="10.83203125" customWidth="1"/>
    <col min="24" max="24" width="28" customWidth="1"/>
    <col min="25" max="27" width="13.33203125" customWidth="1"/>
    <col min="28" max="43" width="10.83203125" customWidth="1"/>
  </cols>
  <sheetData>
    <row r="1" spans="1:42">
      <c r="A1" s="3"/>
      <c r="B1" s="3"/>
      <c r="C1" s="3"/>
      <c r="D1" s="3"/>
      <c r="E1" s="3"/>
    </row>
    <row r="2" spans="1:42" ht="20">
      <c r="A2" s="5"/>
      <c r="B2" s="589" t="s">
        <v>167</v>
      </c>
      <c r="C2" s="589"/>
      <c r="D2" s="589"/>
      <c r="E2" s="589"/>
      <c r="F2" s="589"/>
      <c r="G2" s="589"/>
      <c r="H2" s="589"/>
      <c r="I2" s="589"/>
      <c r="J2" s="589"/>
    </row>
    <row r="3" spans="1:42" ht="20" customHeight="1" thickBot="1">
      <c r="A3" s="5"/>
      <c r="B3" s="713" t="s">
        <v>10</v>
      </c>
      <c r="C3" s="714" t="s">
        <v>168</v>
      </c>
      <c r="D3" s="714"/>
      <c r="E3" s="714"/>
      <c r="F3" s="714"/>
      <c r="G3" s="714"/>
      <c r="H3" s="714"/>
      <c r="I3" s="714"/>
      <c r="J3" s="714"/>
      <c r="M3" s="715" t="s">
        <v>138</v>
      </c>
      <c r="N3" s="716"/>
      <c r="O3" s="715" t="s">
        <v>136</v>
      </c>
      <c r="P3" s="716"/>
      <c r="Q3" s="715" t="s">
        <v>139</v>
      </c>
      <c r="R3" s="716"/>
    </row>
    <row r="4" spans="1:42" ht="22" thickBot="1">
      <c r="A4" s="29"/>
      <c r="B4" s="717"/>
      <c r="C4" s="223" t="s">
        <v>169</v>
      </c>
      <c r="D4" s="221" t="s">
        <v>125</v>
      </c>
      <c r="E4" s="7" t="s">
        <v>126</v>
      </c>
      <c r="F4" s="221" t="s">
        <v>111</v>
      </c>
      <c r="G4" s="7" t="s">
        <v>4</v>
      </c>
      <c r="H4" s="7" t="s">
        <v>173</v>
      </c>
      <c r="I4" s="7" t="s">
        <v>172</v>
      </c>
      <c r="J4" s="7" t="s">
        <v>178</v>
      </c>
      <c r="K4" s="229"/>
      <c r="L4" s="229"/>
      <c r="M4" s="375" t="s">
        <v>175</v>
      </c>
      <c r="N4" s="44" t="s">
        <v>176</v>
      </c>
      <c r="O4" s="375" t="s">
        <v>175</v>
      </c>
      <c r="P4" s="44" t="s">
        <v>176</v>
      </c>
      <c r="Q4" s="375" t="s">
        <v>175</v>
      </c>
      <c r="R4" s="44" t="s">
        <v>176</v>
      </c>
      <c r="Y4" s="329" t="s">
        <v>138</v>
      </c>
      <c r="Z4" s="330" t="s">
        <v>268</v>
      </c>
      <c r="AA4" s="331" t="s">
        <v>139</v>
      </c>
      <c r="AB4" s="319" t="s">
        <v>253</v>
      </c>
      <c r="AC4" s="319" t="s">
        <v>254</v>
      </c>
      <c r="AD4" s="319" t="s">
        <v>255</v>
      </c>
      <c r="AE4" s="319" t="s">
        <v>256</v>
      </c>
      <c r="AF4" s="320" t="s">
        <v>257</v>
      </c>
      <c r="AG4" s="318" t="s">
        <v>258</v>
      </c>
      <c r="AH4" s="319" t="s">
        <v>259</v>
      </c>
      <c r="AI4" s="319" t="s">
        <v>260</v>
      </c>
      <c r="AJ4" s="319" t="s">
        <v>261</v>
      </c>
      <c r="AK4" s="320" t="s">
        <v>262</v>
      </c>
      <c r="AL4" s="318" t="s">
        <v>263</v>
      </c>
      <c r="AM4" s="319" t="s">
        <v>264</v>
      </c>
      <c r="AN4" s="319" t="s">
        <v>265</v>
      </c>
      <c r="AO4" s="319" t="s">
        <v>266</v>
      </c>
      <c r="AP4" s="320" t="s">
        <v>267</v>
      </c>
    </row>
    <row r="5" spans="1:42" ht="21" customHeight="1">
      <c r="A5" s="5"/>
      <c r="B5" s="5" t="str">
        <f>'Prices_Yields&amp;SeedInputs'!B17</f>
        <v>SW Winter Wheat after Fallow</v>
      </c>
      <c r="C5" s="222">
        <v>1</v>
      </c>
      <c r="D5" s="222">
        <v>0.67</v>
      </c>
      <c r="E5" s="222">
        <v>0.67</v>
      </c>
      <c r="F5" s="222">
        <v>1</v>
      </c>
      <c r="G5" s="222">
        <v>1</v>
      </c>
      <c r="H5" s="222">
        <v>1</v>
      </c>
      <c r="I5" s="222">
        <v>1</v>
      </c>
      <c r="J5" s="222">
        <v>1</v>
      </c>
      <c r="K5" s="222"/>
      <c r="L5" s="222"/>
      <c r="M5" s="410" cm="1">
        <f t="array" ref="M5">(SWWinterWheatAfterFallow!F$8*C5)+(SUM(SWWinterWheatAfterFallow!F$9:F$14*D5))+(SUM(SWWinterWheatAfterFallow!F$21:F$61)*E5)+(SUM(SWWinterWheatAfterFallow!F$63:F$70)*J5)+(SWWinterWheatAfterFallow!J$116*F5)+(SWWinterWheatAfterFallow!J$117*G5)+(SWWinterWheatAfterFallow!J$118*H5)+(SWWinterWheatAfterFallow!F$135*I5)</f>
        <v>205.19312079666147</v>
      </c>
      <c r="N5" s="411">
        <f>((C$31*C$32)+C$30)+(SWWinterWheatAfterFallow!F$8*(1-C5))+(SUM(SWWinterWheatAfterFallow!F$9:F$14)*(1-D5))+(SUM(SWWinterWheatAfterFallow!F$21:F$61)*(1-E5))+((SUM(SWWinterWheatAfterFallow!F$63:F$70)*(1-J5))+(SWWinterWheatAfterFallow!J$116)*(1-F5))+(SWWinterWheatAfterFallow!J$117*(1-G5))+(SWWinterWheatAfterFallow!J$118*(1-H5))+(SWWinterWheatAfterFallow!F$135*(1-I5))</f>
        <v>104.30613549999998</v>
      </c>
      <c r="O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H$114*H5)+(SWWinterWheatAfterFallow!H$135*I5)</f>
        <v>259.25861144427614</v>
      </c>
      <c r="P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H$114*(1-H5))+(SWWinterWheatAfterFallow!H$135*(1-I5)))))</f>
        <v>104.30613549999998</v>
      </c>
      <c r="Q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I$114*H5)+(SWWinterWheatAfterFallow!I$135*I5)</f>
        <v>256.44131849925492</v>
      </c>
      <c r="R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I$114*(1-H5))+(SWWinterWheatAfterFallow!I$135*(1-I5))</f>
        <v>104.30613549999998</v>
      </c>
      <c r="S5">
        <v>322.26</v>
      </c>
      <c r="T5" s="40">
        <f>M5+N5</f>
        <v>309.49925629666143</v>
      </c>
      <c r="U5" s="40">
        <f>S5-T5</f>
        <v>12.760743703338562</v>
      </c>
      <c r="V5" s="40"/>
      <c r="W5" s="323" t="str">
        <f>'Prices_Yields&amp;SeedInputs'!B17</f>
        <v>SW Winter Wheat after Fallow</v>
      </c>
      <c r="X5" s="323"/>
      <c r="Y5" s="324">
        <f>SUM(AB5:AF5)</f>
        <v>0</v>
      </c>
      <c r="Z5" s="1">
        <f>SUM(AG5:AK5)</f>
        <v>0</v>
      </c>
      <c r="AA5" s="325">
        <f>SUM(AL5:AP5)</f>
        <v>0</v>
      </c>
      <c r="AB5" s="1">
        <f>IF('Farm and Rotation Setup'!$D$5="Soft White Winter Wheat after Fallow",'Farm and Rotation Setup'!$G$5,0)</f>
        <v>0</v>
      </c>
      <c r="AC5" s="1">
        <f>IF('Farm and Rotation Setup'!$D$6="Soft White Winter Wheat after Fallow",'Farm and Rotation Setup'!$G$6,0)</f>
        <v>0</v>
      </c>
      <c r="AD5" s="1">
        <f>IF('Farm and Rotation Setup'!$D$7="Soft White Winter Wheat after Fallow",'Farm and Rotation Setup'!$G$7,0)</f>
        <v>0</v>
      </c>
      <c r="AE5" s="1">
        <f>IF('Farm and Rotation Setup'!$D$8="Soft White Winter Wheat after Fallow",'Farm and Rotation Setup'!$G$8,0)</f>
        <v>0</v>
      </c>
      <c r="AF5" s="321">
        <f>IF('Farm and Rotation Setup'!$D$9="Soft White Winter Wheat after Fallow",'Farm and Rotation Setup'!$G$9,0)</f>
        <v>0</v>
      </c>
      <c r="AG5" s="1">
        <f>IF('Farm and Rotation Setup'!$D$14="Soft White Winter Wheat after Fallow",'Farm and Rotation Setup'!$G$14,0)</f>
        <v>0</v>
      </c>
      <c r="AH5" s="1">
        <f>IF('Farm and Rotation Setup'!$D$15="Soft White Winter Wheat after Fallow",'Farm and Rotation Setup'!$G$15,0)</f>
        <v>0</v>
      </c>
      <c r="AI5" s="1">
        <f>IF('Farm and Rotation Setup'!$D$16="Soft White Winter Wheat after Fallow",'Farm and Rotation Setup'!$G$16,0)</f>
        <v>0</v>
      </c>
      <c r="AJ5" s="1">
        <f>IF('Farm and Rotation Setup'!$D$17="Soft White Winter Wheat after Fallow",'Farm and Rotation Setup'!$G$17,0)</f>
        <v>0</v>
      </c>
      <c r="AK5" s="321">
        <f>IF('Farm and Rotation Setup'!$D$18="Soft White Winter Wheat after Fallow",'Farm and Rotation Setup'!$G$18,0)</f>
        <v>0</v>
      </c>
      <c r="AL5" s="1">
        <f>IF('Farm and Rotation Setup'!$D$23="Soft White Winter Wheat after Fallow",'Farm and Rotation Setup'!$G$23,0)</f>
        <v>0</v>
      </c>
      <c r="AM5" s="1">
        <f>IF('Farm and Rotation Setup'!$D$24="Soft White Winter Wheat after Fallow",'Farm and Rotation Setup'!$G$24,0)</f>
        <v>0</v>
      </c>
      <c r="AN5" s="1">
        <f>IF('Farm and Rotation Setup'!$D$25="Soft White Winter Wheat after Fallow",'Farm and Rotation Setup'!$G$25,0)</f>
        <v>0</v>
      </c>
      <c r="AO5" s="1">
        <f>IF('Farm and Rotation Setup'!$D$26="Soft White Winter Wheat after Fallow",'Farm and Rotation Setup'!$G$26,0)</f>
        <v>0</v>
      </c>
      <c r="AP5" s="321">
        <f>IF('Farm and Rotation Setup'!$D$27="Soft White Winter Wheat after Fallow",'Farm and Rotation Setup'!$G$27,0)</f>
        <v>0</v>
      </c>
    </row>
    <row r="6" spans="1:42" ht="21" customHeight="1">
      <c r="A6" s="5"/>
      <c r="B6" s="5" t="str">
        <f>'Prices_Yields&amp;SeedInputs'!B16</f>
        <v>SW Winter Wheat after Cereal</v>
      </c>
      <c r="C6" s="222">
        <v>1</v>
      </c>
      <c r="D6" s="222">
        <v>0.67</v>
      </c>
      <c r="E6" s="222">
        <v>0.67</v>
      </c>
      <c r="F6" s="222">
        <v>1</v>
      </c>
      <c r="G6" s="222">
        <v>1</v>
      </c>
      <c r="H6" s="222">
        <v>1</v>
      </c>
      <c r="I6" s="222">
        <v>1</v>
      </c>
      <c r="J6" s="222">
        <v>1</v>
      </c>
      <c r="K6" s="222"/>
      <c r="L6" s="222"/>
      <c r="M6" s="410" cm="1">
        <f t="array" ref="M6">(SWWinterWheatafterCereal!F$8*C6)+(SUM(SWWinterWheatafterCereal!F$9:F$14*D6))+(SUM(SWWinterWheatafterCereal!F$21:F$61)*E6)+(SUM(SWWinterWheatafterCereal!F$63:F$70)*J6)+(SWWinterWheatafterCereal!J$116*F6)+(SWWinterWheatafterCereal!J$117*G6)+(SWWinterWheatafterCereal!J$118*H6)+(SWWinterWheatafterCereal!F$135*I6)</f>
        <v>205.19312079666147</v>
      </c>
      <c r="N6" s="411">
        <f>((C$31*C$32)+C$30)+(SWWinterWheatafterCereal!F$8*(1-C6))+(SUM(SWWinterWheatafterCereal!F$9:F$14)*(1-D6))+(SUM(SWWinterWheatafterCereal!F$21:F$61)*(1-E6))+((SUM(SWWinterWheatafterCereal!F$63:F$70)*(1-J6))+(SWWinterWheatafterCereal!J$116)*(1-F6))+(SWWinterWheatafterCereal!J$117*(1-G6))+(SWWinterWheatafterCereal!J$118*(1-H6))+(SWWinterWheatafterCereal!F$135*(1-I6))</f>
        <v>104.30613549999998</v>
      </c>
      <c r="O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H$114*H6)+(SWWinterWheatafterCereal!H$135*I6)</f>
        <v>259.25861144427614</v>
      </c>
      <c r="P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H$114*(1-H6))+(SWWinterWheatafterCereal!H$135*(1-I6)))))</f>
        <v>104.30613549999998</v>
      </c>
      <c r="Q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I$114*H6)+(SWWinterWheatafterCereal!I$135*I6)</f>
        <v>256.44131849925492</v>
      </c>
      <c r="R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I$114*(1-H6))+(SWWinterWheatafterCereal!I$135*(1-I6))</f>
        <v>104.30613549999998</v>
      </c>
      <c r="S6">
        <v>323.26</v>
      </c>
      <c r="T6" s="40">
        <f t="shared" ref="T6:T8" si="0">M6+N6</f>
        <v>309.49925629666143</v>
      </c>
      <c r="U6" s="40">
        <f t="shared" ref="U6:U8" si="1">S6-T6</f>
        <v>13.760743703338562</v>
      </c>
      <c r="V6" s="40"/>
      <c r="W6" s="323" t="str">
        <f>'Prices_Yields&amp;SeedInputs'!B16</f>
        <v>SW Winter Wheat after Cereal</v>
      </c>
      <c r="X6" s="323"/>
      <c r="Y6" s="324">
        <f t="shared" ref="Y6:Y27" si="2">SUM(AB6:AF6)</f>
        <v>0</v>
      </c>
      <c r="Z6" s="1">
        <f t="shared" ref="Z6:Z27" si="3">SUM(AG6:AK6)</f>
        <v>0</v>
      </c>
      <c r="AA6" s="325">
        <f t="shared" ref="AA6:AA27" si="4">SUM(AL6:AP6)</f>
        <v>0</v>
      </c>
      <c r="AB6" s="1">
        <f>IF('Farm and Rotation Setup'!$D$5="Soft White Winter Wheat after Cereal",'Farm and Rotation Setup'!$G$5,0)</f>
        <v>0</v>
      </c>
      <c r="AC6" s="1">
        <f>IF('Farm and Rotation Setup'!$D$6="Soft White Winter Wheat after Cereal",'Farm and Rotation Setup'!$G$6,0)</f>
        <v>0</v>
      </c>
      <c r="AD6" s="1">
        <f>IF('Farm and Rotation Setup'!$D$7="Soft White Winter Wheat after Cereal",'Farm and Rotation Setup'!$G$7,0)</f>
        <v>0</v>
      </c>
      <c r="AE6" s="1">
        <f>IF('Farm and Rotation Setup'!$D$8="Soft White Winter Wheat after Cereal",'Farm and Rotation Setup'!$G$8,0)</f>
        <v>0</v>
      </c>
      <c r="AF6" s="322">
        <f>IF('Farm and Rotation Setup'!$D$9="Soft White Winter Wheat after Cereal",'Farm and Rotation Setup'!$G$9,0)</f>
        <v>0</v>
      </c>
      <c r="AG6" s="1">
        <f>IF('Farm and Rotation Setup'!$D$14="Soft White Winter Wheat after Cereal",'Farm and Rotation Setup'!$G$14,0)</f>
        <v>0</v>
      </c>
      <c r="AH6" s="1">
        <f>IF('Farm and Rotation Setup'!$D$15="Soft White Winter Wheat after Cereal",'Farm and Rotation Setup'!$G$15,0)</f>
        <v>0</v>
      </c>
      <c r="AI6" s="1">
        <f>IF('Farm and Rotation Setup'!$D$16="Soft White Winter Wheat after Cereal",'Farm and Rotation Setup'!$G$16,0)</f>
        <v>0</v>
      </c>
      <c r="AJ6" s="1">
        <f>IF('Farm and Rotation Setup'!$D$17="Soft White Winter Wheat after Cereal",'Farm and Rotation Setup'!$G$17,0)</f>
        <v>0</v>
      </c>
      <c r="AK6" s="322">
        <f>IF('Farm and Rotation Setup'!$D$18="Soft White Winter Wheat after Cereal",'Farm and Rotation Setup'!$G$18,0)</f>
        <v>0</v>
      </c>
      <c r="AL6" s="1">
        <f>IF('Farm and Rotation Setup'!$D$23="Soft White Winter Wheat after Cereal",'Farm and Rotation Setup'!$G$23,0)</f>
        <v>0</v>
      </c>
      <c r="AM6" s="1">
        <f>IF('Farm and Rotation Setup'!$D$24="Soft White Winter Wheat after Cereal",'Farm and Rotation Setup'!$G$24,0)</f>
        <v>0</v>
      </c>
      <c r="AN6" s="1">
        <f>IF('Farm and Rotation Setup'!$D$25="Soft White Winter Wheat after Cereal",'Farm and Rotation Setup'!$G$25,0)</f>
        <v>0</v>
      </c>
      <c r="AO6" s="1">
        <f>IF('Farm and Rotation Setup'!$D$26="Soft White Winter Wheat after Cereal",'Farm and Rotation Setup'!$G$26,0)</f>
        <v>0</v>
      </c>
      <c r="AP6" s="322">
        <f>IF('Farm and Rotation Setup'!$D$27="Soft White Winter Wheat after Cereal",'Farm and Rotation Setup'!$G$27,0)</f>
        <v>0</v>
      </c>
    </row>
    <row r="7" spans="1:42" ht="21" customHeight="1">
      <c r="A7" s="5"/>
      <c r="B7" s="5" t="str">
        <f>'Prices_Yields&amp;SeedInputs'!B5</f>
        <v>SW Winter Wheat after Spring Legume</v>
      </c>
      <c r="C7" s="222">
        <v>1</v>
      </c>
      <c r="D7" s="222">
        <v>0.67</v>
      </c>
      <c r="E7" s="222">
        <v>0.67</v>
      </c>
      <c r="F7" s="222">
        <v>1</v>
      </c>
      <c r="G7" s="222">
        <v>1</v>
      </c>
      <c r="H7" s="222">
        <v>1</v>
      </c>
      <c r="I7" s="222">
        <v>1</v>
      </c>
      <c r="J7" s="222">
        <v>1</v>
      </c>
      <c r="K7" s="222"/>
      <c r="L7" s="222"/>
      <c r="M7" s="410" cm="1">
        <f t="array" ref="M7">(SWWinterWheatAfterSpringLegume!F$8*C7)+(SUM(SWWinterWheatAfterSpringLegume!F$9:F$14*D7))+(SUM(SWWinterWheatAfterSpringLegume!F$21:F$61)*E7)+(SUM(SWWinterWheatAfterSpringLegume!F$63:F$70)*J7)+(SWWinterWheatAfterSpringLegume!J$116*F7)+(SWWinterWheatAfterSpringLegume!J$117*G7)+(SWWinterWheatAfterSpringLegume!J$118*H7)+(SWWinterWheatAfterSpringLegume!F$135*I7)</f>
        <v>205.19312079666147</v>
      </c>
      <c r="N7" s="411">
        <f>((C$31*C$32)+C$30)+(SWWinterWheatAfterSpringLegume!F$8*(1-C7))+(SUM(SWWinterWheatAfterSpringLegume!F$9:F$14)*(1-D7))+(SUM(SWWinterWheatAfterSpringLegume!F$21:F$61)*(1-E7))+((SUM(SWWinterWheatAfterSpringLegume!F$63:F$70)*(1-J7))+(SWWinterWheatAfterSpringLegume!J$116)*(1-F7))+(SWWinterWheatAfterSpringLegume!J$117*(1-G7))+(SWWinterWheatAfterSpringLegume!J$118*(1-H7))+(SWWinterWheatAfterSpringLegume!F$135*(1-I7))</f>
        <v>104.30613549999998</v>
      </c>
      <c r="O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H$114*H7)+(SWWinterWheatAfterSpringLegume!H$135*I7)</f>
        <v>259.25861144427614</v>
      </c>
      <c r="P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H$114*(1-H7))+(SWWinterWheatAfterSpringLegume!H$135*(1-I7)))))</f>
        <v>104.30613549999998</v>
      </c>
      <c r="Q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I$114*H7)+(SWWinterWheatAfterSpringLegume!I$135*I7)</f>
        <v>256.44131849925492</v>
      </c>
      <c r="R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I$114*(1-H7))+(SWWinterWheatAfterSpringLegume!I$135*(1-I7))</f>
        <v>104.30613549999998</v>
      </c>
      <c r="S7">
        <v>324.26</v>
      </c>
      <c r="T7" s="40">
        <f t="shared" si="0"/>
        <v>309.49925629666143</v>
      </c>
      <c r="U7" s="40">
        <f t="shared" si="1"/>
        <v>14.760743703338562</v>
      </c>
      <c r="V7" s="40"/>
      <c r="W7" s="323" t="str">
        <f>'Prices_Yields&amp;SeedInputs'!B5</f>
        <v>SW Winter Wheat after Spring Legume</v>
      </c>
      <c r="X7" s="323"/>
      <c r="Y7" s="324">
        <f t="shared" si="2"/>
        <v>0</v>
      </c>
      <c r="Z7" s="1">
        <f t="shared" si="3"/>
        <v>0</v>
      </c>
      <c r="AA7" s="325">
        <f t="shared" si="4"/>
        <v>0</v>
      </c>
      <c r="AB7" s="1">
        <f>IF('Farm and Rotation Setup'!$D$5="Soft White Winter Wheat after Winter Pea",'Farm and Rotation Setup'!$G$5,0)</f>
        <v>0</v>
      </c>
      <c r="AC7" s="1">
        <f>IF('Farm and Rotation Setup'!$D$6="Soft White Winter Wheat after Winter Pea",'Farm and Rotation Setup'!$G$6,0)</f>
        <v>0</v>
      </c>
      <c r="AD7" s="1">
        <f>IF('Farm and Rotation Setup'!$D$7="Soft White Winter Wheat after Winter Pea",'Farm and Rotation Setup'!$G$7,0)</f>
        <v>0</v>
      </c>
      <c r="AE7" s="1">
        <f>IF('Farm and Rotation Setup'!$D$8="Soft White Winter Wheat after Winter Pea",'Farm and Rotation Setup'!$G$8,0)</f>
        <v>0</v>
      </c>
      <c r="AF7" s="322">
        <f>IF('Farm and Rotation Setup'!$D$9="Soft White Winter Wheat after Winter Pea",'Farm and Rotation Setup'!$G$9,0)</f>
        <v>0</v>
      </c>
      <c r="AG7" s="1">
        <f>IF('Farm and Rotation Setup'!$D$14="Soft White Winter Wheat after Winter Pea",'Farm and Rotation Setup'!$G$14,0)</f>
        <v>0</v>
      </c>
      <c r="AH7" s="1">
        <f>IF('Farm and Rotation Setup'!$D$15="Soft White Winter Wheat after Winter Pea",'Farm and Rotation Setup'!$G$15,0)</f>
        <v>0</v>
      </c>
      <c r="AI7" s="1">
        <f>IF('Farm and Rotation Setup'!$D$16="Soft White Winter Wheat after Winter Pea",'Farm and Rotation Setup'!$G$16,0)</f>
        <v>0</v>
      </c>
      <c r="AJ7" s="1">
        <f>IF('Farm and Rotation Setup'!$D$17="Soft White Winter Wheat after Winter Pea",'Farm and Rotation Setup'!$G$17,0)</f>
        <v>0</v>
      </c>
      <c r="AK7" s="322">
        <f>IF('Farm and Rotation Setup'!$D$18="Soft White Winter Wheat after Winter Pea",'Farm and Rotation Setup'!$G$18,0)</f>
        <v>0</v>
      </c>
      <c r="AL7" s="1">
        <f>IF('Farm and Rotation Setup'!$D$23="Soft White Winter Wheat after Winter Pea",'Farm and Rotation Setup'!$G$23,0)</f>
        <v>0</v>
      </c>
      <c r="AM7" s="1">
        <f>IF('Farm and Rotation Setup'!$D$24="Soft White Winter Wheat after Winter Pea",'Farm and Rotation Setup'!$G$24,0)</f>
        <v>0</v>
      </c>
      <c r="AN7" s="1">
        <f>IF('Farm and Rotation Setup'!$D$25="Soft White Winter Wheat after Winter Pea",'Farm and Rotation Setup'!$G$25,0)</f>
        <v>0</v>
      </c>
      <c r="AO7" s="1">
        <f>IF('Farm and Rotation Setup'!$D$26="Soft White Winter Wheat after Winter Pea",'Farm and Rotation Setup'!$G$26,0)</f>
        <v>0</v>
      </c>
      <c r="AP7" s="322">
        <f>IF('Farm and Rotation Setup'!$D$27="Soft White Winter Wheat after Winter Pea",'Farm and Rotation Setup'!$G$27,0)</f>
        <v>0</v>
      </c>
    </row>
    <row r="8" spans="1:42" ht="21" customHeight="1">
      <c r="A8" s="5"/>
      <c r="B8" s="5" t="str">
        <f>'Prices_Yields&amp;SeedInputs'!B6</f>
        <v>SW Winter Wheat after Forage Crop</v>
      </c>
      <c r="C8" s="222">
        <v>1</v>
      </c>
      <c r="D8" s="222">
        <v>0.67</v>
      </c>
      <c r="E8" s="222">
        <v>0.67</v>
      </c>
      <c r="F8" s="222">
        <v>1</v>
      </c>
      <c r="G8" s="222">
        <v>1</v>
      </c>
      <c r="H8" s="222">
        <v>1</v>
      </c>
      <c r="I8" s="222">
        <v>1</v>
      </c>
      <c r="J8" s="222">
        <v>1</v>
      </c>
      <c r="K8" s="222"/>
      <c r="L8" s="222"/>
      <c r="M8" s="410" cm="1">
        <f t="array" ref="M8">(SWWinterWheatAfterForageCrop!F$8*C8)+(SUM(SWWinterWheatAfterForageCrop!F$9:F$17*D8))+(SUM(SWWinterWheatAfterForageCrop!F$21:F$61)*E8)+(SUM(SWWinterWheatAfterForageCrop!F$63:F$70)*J8)+(SWWinterWheatAfterForageCrop!J$116*F8)+(SWWinterWheatAfterForageCrop!J$117*G8)+(SWWinterWheatAfterForageCrop!J$118*H8)+(SWWinterWheatAfterForageCrop!F$135*I8)</f>
        <v>205.19312079666147</v>
      </c>
      <c r="N8" s="411">
        <f>((C$31*C$32)+C$30)+(SWWinterWheatAfterForageCrop!F$8*(1-C8))+(SUM(SWWinterWheatAfterForageCrop!F$9:F$17)*(1-D8))+(SUM(SWWinterWheatAfterForageCrop!F$21:F$61)*(1-E8))+((SUM(SWWinterWheatAfterForageCrop!F$63:F$70)*(1-J8))+(SWWinterWheatAfterForageCrop!J$116)*(1-F8))+(SWWinterWheatAfterForageCrop!J$117*(1-G8))+(SWWinterWheatAfterForageCrop!J$118*(1-H8))+(SWWinterWheatAfterForageCrop!F$135*(1-I8))</f>
        <v>104.30613549999998</v>
      </c>
      <c r="O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H$114*H8)+(SWWinterWheatAfterForageCrop!H$135*I8)</f>
        <v>259.25861144427614</v>
      </c>
      <c r="P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H$114*(1-H8))+(SWWinterWheatAfterForageCrop!H$135*(1-I8)))))</f>
        <v>104.30613549999998</v>
      </c>
      <c r="Q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I$114*H8)+(SWWinterWheatAfterForageCrop!I$135*I8)</f>
        <v>256.44131849925492</v>
      </c>
      <c r="R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I$114*(1-H8))+(SWWinterWheatAfterForageCrop!I$135*(1-I8))</f>
        <v>104.30613549999998</v>
      </c>
      <c r="S8">
        <v>325.26</v>
      </c>
      <c r="T8" s="40">
        <f t="shared" si="0"/>
        <v>309.49925629666143</v>
      </c>
      <c r="U8" s="40">
        <f t="shared" si="1"/>
        <v>15.760743703338562</v>
      </c>
      <c r="V8" s="40"/>
      <c r="W8" s="323" t="str">
        <f>'Prices_Yields&amp;SeedInputs'!B6</f>
        <v>SW Winter Wheat after Forage Crop</v>
      </c>
      <c r="X8" s="323"/>
      <c r="Y8" s="324">
        <f t="shared" si="2"/>
        <v>0</v>
      </c>
      <c r="Z8" s="1">
        <f t="shared" si="3"/>
        <v>0</v>
      </c>
      <c r="AA8" s="325">
        <f t="shared" si="4"/>
        <v>0</v>
      </c>
      <c r="AB8" s="1">
        <f>IF('Farm and Rotation Setup'!$D$5="Soft White Winter Wheat after Cover Crop",'Farm and Rotation Setup'!$G$5,0)</f>
        <v>0</v>
      </c>
      <c r="AC8" s="1">
        <f>IF('Farm and Rotation Setup'!$D$6="Soft White Winter Wheat after Cover Crop",'Farm and Rotation Setup'!$G$6,0)</f>
        <v>0</v>
      </c>
      <c r="AD8" s="1">
        <f>IF('Farm and Rotation Setup'!$D$7="Soft White Winter Wheat after Cover Crop",'Farm and Rotation Setup'!$G$7,0)</f>
        <v>0</v>
      </c>
      <c r="AE8" s="1">
        <f>IF('Farm and Rotation Setup'!$D$8="Soft White Winter Wheat after Cover Crop",'Farm and Rotation Setup'!$G$8,0)</f>
        <v>0</v>
      </c>
      <c r="AF8" s="322">
        <f>IF('Farm and Rotation Setup'!$D$9="Soft White Winter Wheat after Cover Crop",'Farm and Rotation Setup'!$G$9,0)</f>
        <v>0</v>
      </c>
      <c r="AG8" s="1">
        <f>IF('Farm and Rotation Setup'!$D$14="Soft White Winter Wheat after Cover Crop",'Farm and Rotation Setup'!$G$14,0)</f>
        <v>0</v>
      </c>
      <c r="AH8" s="1">
        <f>IF('Farm and Rotation Setup'!$D$15="Soft White Winter Wheat after Cover Crop",'Farm and Rotation Setup'!$G$15,0)</f>
        <v>0</v>
      </c>
      <c r="AI8" s="1">
        <f>IF('Farm and Rotation Setup'!$D$16="Soft White Winter Wheat after Cover Crop",'Farm and Rotation Setup'!$G$16,0)</f>
        <v>0</v>
      </c>
      <c r="AJ8" s="1">
        <f>IF('Farm and Rotation Setup'!$D$17="Soft White Winter Wheat after Cover Crop",'Farm and Rotation Setup'!$G$17,0)</f>
        <v>0</v>
      </c>
      <c r="AK8" s="322">
        <f>IF('Farm and Rotation Setup'!$D$18="Soft White Winter Wheat after Cover Crop",'Farm and Rotation Setup'!$G$18,0)</f>
        <v>0</v>
      </c>
      <c r="AL8" s="1">
        <f>IF('Farm and Rotation Setup'!$D$23="Soft White Winter Wheat after Cover Crop",'Farm and Rotation Setup'!$G$23,0)</f>
        <v>0</v>
      </c>
      <c r="AM8" s="1">
        <f>IF('Farm and Rotation Setup'!$D$24="Soft White Winter Wheat after Cover Crop",'Farm and Rotation Setup'!$G$24,0)</f>
        <v>0</v>
      </c>
      <c r="AN8" s="1">
        <f>IF('Farm and Rotation Setup'!$D$25="Soft White Winter Wheat after Cover Crop",'Farm and Rotation Setup'!$G$25,0)</f>
        <v>0</v>
      </c>
      <c r="AO8" s="1">
        <f>IF('Farm and Rotation Setup'!$D$26="Soft White Winter Wheat after Cover Crop",'Farm and Rotation Setup'!$G$26,0)</f>
        <v>0</v>
      </c>
      <c r="AP8" s="322">
        <f>IF('Farm and Rotation Setup'!$D$27="Soft White Winter Wheat after Cover Crop",'Farm and Rotation Setup'!$G$27,0)</f>
        <v>0</v>
      </c>
    </row>
    <row r="9" spans="1:42" ht="20">
      <c r="A9" s="30"/>
      <c r="B9" s="5" t="str">
        <f>'Prices_Yields&amp;SeedInputs'!B24</f>
        <v>SW Spring Wheat</v>
      </c>
      <c r="C9" s="222">
        <v>1</v>
      </c>
      <c r="D9" s="222">
        <v>0.67</v>
      </c>
      <c r="E9" s="222">
        <v>0.67</v>
      </c>
      <c r="F9" s="222">
        <v>1</v>
      </c>
      <c r="G9" s="222">
        <v>1</v>
      </c>
      <c r="H9" s="222">
        <v>1</v>
      </c>
      <c r="I9" s="222">
        <v>1</v>
      </c>
      <c r="J9" s="222">
        <v>1</v>
      </c>
      <c r="K9" s="222"/>
      <c r="L9" s="222"/>
      <c r="M9" s="410" cm="1">
        <f t="array" ref="M9">(SWSpringWheat!F$8*C9)+(SUM(SWSpringWheat!F$9:F$18*D9))+(SUM(SWSpringWheat!F$21:F$61)*E9)+(SUM(SWSpringWheat!F$63:F$70)*J9)+(SWSpringWheat!J$116*F9)+(SWSpringWheat!J$117*G9)+(SWSpringWheat!J$118*H9)+(SWSpringWheat!F$135*I9)</f>
        <v>199.77846079666148</v>
      </c>
      <c r="N9" s="411">
        <f>((C$31*C$32)+C$30)+(SWSpringWheat!F$8*(1-C9))+(SUM(SWSpringWheat!F$9:F$18)*(1-D9))+(SUM(SWSpringWheat!F$21:F$61)*(1-E9))+((SUM(SWSpringWheat!F$63:F$70)*(1-J9))+(SWSpringWheat!J$116)*(1-F9))+(SWSpringWheat!J$117*(1-G9))+(SWSpringWheat!J$118*(1-H9))+(SWSpringWheat!F$135*(1-I9))</f>
        <v>99.422795499999978</v>
      </c>
      <c r="O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H$114*H9)+(SWSpringWheat!H$135*I9)</f>
        <v>253.84395144427614</v>
      </c>
      <c r="P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H$114*(1-H9))+(SWSpringWheat!H$135*(1-I9)))))</f>
        <v>99.422795499999992</v>
      </c>
      <c r="Q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I$114*H9)+(SWSpringWheat!I$135*I9)</f>
        <v>251.02665849925492</v>
      </c>
      <c r="R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I$114*(1-H9))+(SWSpringWheat!I$135*(1-I9))</f>
        <v>99.422795499999978</v>
      </c>
      <c r="S9">
        <v>323.26</v>
      </c>
      <c r="T9" s="40">
        <f t="shared" ref="T9:T27" si="5">M9+N9</f>
        <v>299.20125629666143</v>
      </c>
      <c r="U9" s="40">
        <f t="shared" ref="U9:U27" si="6">S9-T9</f>
        <v>24.058743703338564</v>
      </c>
      <c r="V9" s="40"/>
      <c r="W9" s="323" t="str">
        <f>'Prices_Yields&amp;SeedInputs'!B24</f>
        <v>SW Spring Wheat</v>
      </c>
      <c r="X9" s="323"/>
      <c r="Y9" s="324">
        <f t="shared" si="2"/>
        <v>0</v>
      </c>
      <c r="Z9" s="1">
        <f t="shared" si="3"/>
        <v>0</v>
      </c>
      <c r="AA9" s="325">
        <f t="shared" si="4"/>
        <v>0</v>
      </c>
      <c r="AB9" s="1">
        <f>IF('Farm and Rotation Setup'!$D$5="Soft White Spring Wheat after Winter Crop",'Farm and Rotation Setup'!$G$5,0)</f>
        <v>0</v>
      </c>
      <c r="AC9" s="1">
        <f>IF('Farm and Rotation Setup'!$D$6="Soft White Spring Wheat after Winter Crop",'Farm and Rotation Setup'!$G$6,0)</f>
        <v>0</v>
      </c>
      <c r="AD9" s="1">
        <f>IF('Farm and Rotation Setup'!$D$7="Soft White Spring Wheat after Winter Crop",'Farm and Rotation Setup'!$G$7,0)</f>
        <v>0</v>
      </c>
      <c r="AE9" s="1">
        <f>IF('Farm and Rotation Setup'!$D$8="Soft White Spring Wheat after Winter Crop",'Farm and Rotation Setup'!$G$8,0)</f>
        <v>0</v>
      </c>
      <c r="AF9" s="322">
        <f>IF('Farm and Rotation Setup'!$D$9="Soft White Spring Wheat after Winter Crop",'Farm and Rotation Setup'!$G$9,0)</f>
        <v>0</v>
      </c>
      <c r="AG9" s="1">
        <f>IF('Farm and Rotation Setup'!$D$14="Soft White Spring Wheat after Winter Crop",'Farm and Rotation Setup'!$G$14,0)</f>
        <v>0</v>
      </c>
      <c r="AH9" s="1">
        <f>IF('Farm and Rotation Setup'!$D$15="Soft White Spring Wheat after Winter Crop",'Farm and Rotation Setup'!$G$15,0)</f>
        <v>0</v>
      </c>
      <c r="AI9" s="1">
        <f>IF('Farm and Rotation Setup'!$D$16="Soft White Spring Wheat after Winter Crop",'Farm and Rotation Setup'!$G$16,0)</f>
        <v>0</v>
      </c>
      <c r="AJ9" s="1">
        <f>IF('Farm and Rotation Setup'!$D$17="Soft White Spring Wheat after Winter Crop",'Farm and Rotation Setup'!$G$17,0)</f>
        <v>0</v>
      </c>
      <c r="AK9" s="322">
        <f>IF('Farm and Rotation Setup'!$D$18="Soft White Spring Wheat after Winter Crop",'Farm and Rotation Setup'!$G$18,0)</f>
        <v>0</v>
      </c>
      <c r="AL9" s="1">
        <f>IF('Farm and Rotation Setup'!$D$23="Soft White Spring Wheat after Winter Crop",'Farm and Rotation Setup'!$G$23,0)</f>
        <v>0</v>
      </c>
      <c r="AM9" s="1">
        <f>IF('Farm and Rotation Setup'!$D$24="Soft White Spring Wheat after Winter Crop",'Farm and Rotation Setup'!$G$24,0)</f>
        <v>0</v>
      </c>
      <c r="AN9" s="1">
        <f>IF('Farm and Rotation Setup'!$D$25="Soft White Spring Wheat after Winter Crop",'Farm and Rotation Setup'!$G$25,0)</f>
        <v>0</v>
      </c>
      <c r="AO9" s="1">
        <f>IF('Farm and Rotation Setup'!$D$26="Soft White Spring Wheat after Winter Crop",'Farm and Rotation Setup'!$G$26,0)</f>
        <v>0</v>
      </c>
      <c r="AP9" s="322">
        <f>IF('Farm and Rotation Setup'!$D$27="Soft White Spring Wheat after Winter Crop",'Farm and Rotation Setup'!$G$27,0)</f>
        <v>0</v>
      </c>
    </row>
    <row r="10" spans="1:42" ht="20">
      <c r="A10" s="30"/>
      <c r="B10" s="5" t="str">
        <f>'Prices_Yields&amp;SeedInputs'!B7</f>
        <v>DN Spring Wheat after Spring Legume</v>
      </c>
      <c r="C10" s="222">
        <v>1</v>
      </c>
      <c r="D10" s="222">
        <v>0.67</v>
      </c>
      <c r="E10" s="222">
        <v>0.67</v>
      </c>
      <c r="F10" s="222">
        <v>1</v>
      </c>
      <c r="G10" s="222">
        <v>1</v>
      </c>
      <c r="H10" s="222">
        <v>1</v>
      </c>
      <c r="I10" s="222">
        <v>1</v>
      </c>
      <c r="J10" s="222">
        <v>1</v>
      </c>
      <c r="K10" s="316" t="s">
        <v>8</v>
      </c>
      <c r="L10" s="316" t="s">
        <v>8</v>
      </c>
      <c r="M10" s="410" cm="1">
        <f t="array" ref="M10">(DNSpringWinterAfterSpringLegume!F$8*C10)+(SUM(DNSpringWinterAfterSpringLegume!F$9:F$14*D10))+(SUM(DNSpringWinterAfterSpringLegume!F$21:F$61)*E10)+(SUM(DNSpringWinterAfterSpringLegume!F$63:F$70)*J10)+(DNSpringWinterAfterSpringLegume!J$116*F10)+(DNSpringWinterAfterSpringLegume!J$117*G10)+(DNSpringWinterAfterSpringLegume!J$118*H10)+(DNSpringWinterAfterSpringLegume!F$135*I10)</f>
        <v>202.26993079666147</v>
      </c>
      <c r="N10" s="411">
        <f>((C$31*C$32)+C$30)+(DNSpringWinterAfterSpringLegume!F$8*(1-C10))+(SUM(DNSpringWinterAfterSpringLegume!F$9:F$14)*(1-D10))+(SUM(DNSpringWinterAfterSpringLegume!F$21:F$61)*(1-E10))+((SUM(DNSpringWinterAfterSpringLegume!F$63:F$70)*(1-J10))+(DNSpringWinterAfterSpringLegume!J$116)*(1-F10))+(DNSpringWinterAfterSpringLegume!J$117*(1-G10))+(DNSpringWinterAfterSpringLegume!J$118*(1-H10))+(DNSpringWinterAfterSpringLegume!F$135*(1-I10))</f>
        <v>99.172325499999999</v>
      </c>
      <c r="O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H$114*H10)+(DNSpringWinterAfterSpringLegume!H$135*I10)</f>
        <v>256.33542144427616</v>
      </c>
      <c r="P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H$114*(1-H10))+(DNSpringWinterAfterSpringLegume!H$135*(1-I10)))))</f>
        <v>99.172325499999999</v>
      </c>
      <c r="Q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I$114*H10)+(DNSpringWinterAfterSpringLegume!I$135*I10)</f>
        <v>253.51812849925491</v>
      </c>
      <c r="R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I$114*(1-H10))+(DNSpringWinterAfterSpringLegume!I$135*(1-I10))</f>
        <v>99.172325499999999</v>
      </c>
      <c r="S10">
        <v>324.26</v>
      </c>
      <c r="T10" s="40">
        <f t="shared" ref="T10" si="7">M10+N10</f>
        <v>301.44225629666147</v>
      </c>
      <c r="U10" s="40">
        <f t="shared" ref="U10" si="8">S10-T10</f>
        <v>22.817743703338522</v>
      </c>
      <c r="V10" s="40"/>
      <c r="W10" s="323" t="str">
        <f>'Prices_Yields&amp;SeedInputs'!B7</f>
        <v>DN Spring Wheat after Spring Legume</v>
      </c>
      <c r="X10" s="323"/>
      <c r="Y10" s="324">
        <f t="shared" si="2"/>
        <v>0</v>
      </c>
      <c r="Z10" s="1">
        <f t="shared" si="3"/>
        <v>0</v>
      </c>
      <c r="AA10" s="325">
        <f t="shared" si="4"/>
        <v>0</v>
      </c>
      <c r="AB10" s="1">
        <f>IF('Farm and Rotation Setup'!$D$5="Soft White Spring Wheat after Spring Legume",'Farm and Rotation Setup'!$G$5,0)</f>
        <v>0</v>
      </c>
      <c r="AC10" s="1">
        <f>IF('Farm and Rotation Setup'!$D$6="Soft White Spring Wheat after Spring Legume",'Farm and Rotation Setup'!$G$6,0)</f>
        <v>0</v>
      </c>
      <c r="AD10" s="1">
        <f>IF('Farm and Rotation Setup'!$D$7="Soft White Spring Wheat after Spring Legume",'Farm and Rotation Setup'!$G$7,0)</f>
        <v>0</v>
      </c>
      <c r="AE10" s="1">
        <f>IF('Farm and Rotation Setup'!$D$8="Soft White Spring Wheat after Spring Legume",'Farm and Rotation Setup'!$G$8,0)</f>
        <v>0</v>
      </c>
      <c r="AF10" s="322">
        <f>IF('Farm and Rotation Setup'!$D$9="Soft White Spring Wheat after Spring Legume",'Farm and Rotation Setup'!$G$9,0)</f>
        <v>0</v>
      </c>
      <c r="AG10" s="1">
        <f>IF('Farm and Rotation Setup'!$D$14="Soft White Spring Wheat after Spring Legume",'Farm and Rotation Setup'!$G$14,0)</f>
        <v>0</v>
      </c>
      <c r="AH10" s="1">
        <f>IF('Farm and Rotation Setup'!$D$15="Soft White Spring Wheat after Spring Legume",'Farm and Rotation Setup'!$G$15,0)</f>
        <v>0</v>
      </c>
      <c r="AI10" s="1">
        <f>IF('Farm and Rotation Setup'!$D$16="Soft White Spring Wheat after Spring Legume",'Farm and Rotation Setup'!$G$16,0)</f>
        <v>0</v>
      </c>
      <c r="AJ10" s="1">
        <f>IF('Farm and Rotation Setup'!$D$17="Soft White Spring Wheat after Spring Legume",'Farm and Rotation Setup'!$G$17,0)</f>
        <v>0</v>
      </c>
      <c r="AK10" s="322">
        <f>IF('Farm and Rotation Setup'!$D$18="Soft White Spring Wheat after Spring Legume",'Farm and Rotation Setup'!$G$18,0)</f>
        <v>0</v>
      </c>
      <c r="AL10" s="1">
        <f>IF('Farm and Rotation Setup'!$D$23="Soft White Spring Wheat after Spring Legume",'Farm and Rotation Setup'!$G$23,0)</f>
        <v>0</v>
      </c>
      <c r="AM10" s="1">
        <f>IF('Farm and Rotation Setup'!$D$24="Soft White Spring Wheat after Spring Legume",'Farm and Rotation Setup'!$G$24,0)</f>
        <v>0</v>
      </c>
      <c r="AN10" s="1">
        <f>IF('Farm and Rotation Setup'!$D$25="Soft White Spring Wheat after Spring Legume",'Farm and Rotation Setup'!$G$25,0)</f>
        <v>0</v>
      </c>
      <c r="AO10" s="1">
        <f>IF('Farm and Rotation Setup'!$D$26="Soft White Spring Wheat after Spring Legume",'Farm and Rotation Setup'!$G$26,0)</f>
        <v>0</v>
      </c>
      <c r="AP10" s="322">
        <f>IF('Farm and Rotation Setup'!$D$27="Soft White Spring Wheat after Spring Legume",'Farm and Rotation Setup'!$G$27,0)</f>
        <v>0</v>
      </c>
    </row>
    <row r="11" spans="1:42" ht="20">
      <c r="A11" s="130"/>
      <c r="B11" s="5" t="str">
        <f>'Prices_Yields&amp;SeedInputs'!B9</f>
        <v>DN Spring Wheat after Winter Crop</v>
      </c>
      <c r="C11" s="222">
        <v>1</v>
      </c>
      <c r="D11" s="222">
        <v>0.67</v>
      </c>
      <c r="E11" s="222">
        <v>0.67</v>
      </c>
      <c r="F11" s="222">
        <v>1</v>
      </c>
      <c r="G11" s="222">
        <v>1</v>
      </c>
      <c r="H11" s="222">
        <v>1</v>
      </c>
      <c r="I11" s="222">
        <v>1</v>
      </c>
      <c r="J11" s="222">
        <v>1</v>
      </c>
      <c r="K11" s="222"/>
      <c r="L11" s="222"/>
      <c r="M11" s="410" cm="1">
        <f t="array" ref="M11">(DNSpringWheatAfterWinterCrop!F$8*C11)+(SUM(DNSpringWheatAfterWinterCrop!F$9:F$14*D11))+(SUM(DNSpringWheatAfterWinterCrop!F$21:F$61)*E11)+(SUM(DNSpringWheatAfterWinterCrop!F$63:F$70)*J11)+(DNSpringWheatAfterWinterCrop!J$116*F11)+(DNSpringWheatAfterWinterCrop!J$117*G11)+(DNSpringWheatAfterWinterCrop!J$118*H11)+(DNSpringWheatAfterWinterCrop!F$135*I11)</f>
        <v>212.37788579666147</v>
      </c>
      <c r="N11" s="411">
        <f>((C$31*C$32)+C$30)+(DNSpringWheatAfterWinterCrop!F$8*(1-C11))+(SUM(DNSpringWheatAfterWinterCrop!F$9:F$14)*(1-D11))+(SUM(DNSpringWheatAfterWinterCrop!F$21:F$61)*(1-E11))+((SUM(DNSpringWheatAfterWinterCrop!F$63:F$70)*(1-J11))+(DNSpringWheatAfterWinterCrop!J$116)*(1-F11))+(DNSpringWheatAfterWinterCrop!J$117*(1-G11))+(DNSpringWheatAfterWinterCrop!J$118*(1-H11))+(DNSpringWheatAfterWinterCrop!F$135*(1-I11))</f>
        <v>104.1508705</v>
      </c>
      <c r="O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H$114*H11)+(DNSpringWheatAfterWinterCrop!H$135*I11)</f>
        <v>266.44337644427617</v>
      </c>
      <c r="P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H$114*(1-H11))+(DNSpringWheatAfterWinterCrop!H$135*(1-I11)))))</f>
        <v>104.1508705</v>
      </c>
      <c r="Q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I$114*H11)+(DNSpringWheatAfterWinterCrop!I$135*I11)</f>
        <v>263.62608349925489</v>
      </c>
      <c r="R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I$114*(1-H11))+(DNSpringWheatAfterWinterCrop!I$135*(1-I11))</f>
        <v>104.1508705</v>
      </c>
      <c r="S11">
        <v>324.26</v>
      </c>
      <c r="T11" s="40">
        <f t="shared" si="5"/>
        <v>316.52875629666147</v>
      </c>
      <c r="U11" s="40">
        <f t="shared" si="6"/>
        <v>7.7312437033385208</v>
      </c>
      <c r="V11" s="40"/>
      <c r="W11" s="323" t="str">
        <f>'Prices_Yields&amp;SeedInputs'!B9</f>
        <v>DN Spring Wheat after Winter Crop</v>
      </c>
      <c r="X11" s="323"/>
      <c r="Y11" s="324">
        <f t="shared" si="2"/>
        <v>0</v>
      </c>
      <c r="Z11" s="1">
        <f t="shared" si="3"/>
        <v>0</v>
      </c>
      <c r="AA11" s="325">
        <f t="shared" si="4"/>
        <v>0</v>
      </c>
      <c r="AB11" s="1">
        <f>IF('Farm and Rotation Setup'!$D$5="Dark Northern Spring Wheat",'Farm and Rotation Setup'!$G$5,0)</f>
        <v>0</v>
      </c>
      <c r="AC11" s="1">
        <f>IF('Farm and Rotation Setup'!$D$6="Dark Northern Spring Wheat",'Farm and Rotation Setup'!$G$6,0)</f>
        <v>0</v>
      </c>
      <c r="AD11" s="1">
        <f>IF('Farm and Rotation Setup'!$D$7="Dark Northern Spring Wheat",'Farm and Rotation Setup'!$G$7,0)</f>
        <v>0</v>
      </c>
      <c r="AE11" s="1">
        <f>IF('Farm and Rotation Setup'!$D$8="Dark Northern Spring Wheat",'Farm and Rotation Setup'!$G$8,0)</f>
        <v>0</v>
      </c>
      <c r="AF11" s="322">
        <f>IF('Farm and Rotation Setup'!$D$9="Dark Northern Spring Wheat",'Farm and Rotation Setup'!$G$9,0)</f>
        <v>0</v>
      </c>
      <c r="AG11" s="1">
        <f>IF('Farm and Rotation Setup'!$D$14="Dark Northern Spring Wheat",'Farm and Rotation Setup'!$G$14,0)</f>
        <v>0</v>
      </c>
      <c r="AH11" s="1">
        <f>IF('Farm and Rotation Setup'!$D$15="Dark Northern Spring Wheat",'Farm and Rotation Setup'!$G$15,0)</f>
        <v>0</v>
      </c>
      <c r="AI11" s="1">
        <f>IF('Farm and Rotation Setup'!$D$16="Dark Northern Spring Wheat",'Farm and Rotation Setup'!$G$16,0)</f>
        <v>0</v>
      </c>
      <c r="AJ11" s="1">
        <f>IF('Farm and Rotation Setup'!$D$17="Dark Northern Spring Wheat",'Farm and Rotation Setup'!$G$17,0)</f>
        <v>0</v>
      </c>
      <c r="AK11" s="322">
        <f>IF('Farm and Rotation Setup'!$D$18="Dark Northern Spring Wheat",'Farm and Rotation Setup'!$G$18,0)</f>
        <v>0</v>
      </c>
      <c r="AL11" s="1">
        <f>IF('Farm and Rotation Setup'!$D$23="Dark Northern Spring Wheat",'Farm and Rotation Setup'!$G$23,0)</f>
        <v>0</v>
      </c>
      <c r="AM11" s="1">
        <f>IF('Farm and Rotation Setup'!$D$24="Dark Northern Spring Wheat",'Farm and Rotation Setup'!$G$24,0)</f>
        <v>0</v>
      </c>
      <c r="AN11" s="1">
        <f>IF('Farm and Rotation Setup'!$D$25="Dark Northern Spring Wheat",'Farm and Rotation Setup'!$G$25,0)</f>
        <v>0</v>
      </c>
      <c r="AO11" s="1">
        <f>IF('Farm and Rotation Setup'!$D$26="Dark Northern Spring Wheat",'Farm and Rotation Setup'!$G$26,0)</f>
        <v>0</v>
      </c>
      <c r="AP11" s="322">
        <f>IF('Farm and Rotation Setup'!$D$27="Dark Northern Spring Wheat",'Farm and Rotation Setup'!$G$27,0)</f>
        <v>0</v>
      </c>
    </row>
    <row r="12" spans="1:42" ht="20">
      <c r="A12" s="131"/>
      <c r="B12" s="5" t="str">
        <f>'Prices_Yields&amp;SeedInputs'!B25</f>
        <v>HR Winter Wheat</v>
      </c>
      <c r="C12" s="222">
        <v>1</v>
      </c>
      <c r="D12" s="222">
        <v>0.67</v>
      </c>
      <c r="E12" s="222">
        <v>0.67</v>
      </c>
      <c r="F12" s="222">
        <v>1</v>
      </c>
      <c r="G12" s="222">
        <v>1</v>
      </c>
      <c r="H12" s="222">
        <v>1</v>
      </c>
      <c r="I12" s="222">
        <v>1</v>
      </c>
      <c r="J12" s="222">
        <v>1</v>
      </c>
      <c r="K12" s="222"/>
      <c r="L12" s="222"/>
      <c r="M12" s="410" cm="1">
        <f t="array" ref="M12">(HRWinterWheat!F$8*C12)+(SUM(HRWinterWheat!F$9:F$14*D12))+(SUM(HRWinterWheat!F$21:F$61)*E12)+(SUM(HRWinterWheat!F$63:F$70)*J12)+(HRWinterWheat!J$116*F12)+(HRWinterWheat!J$117*G12)+(HRWinterWheat!J$118*H12)+(HRWinterWheat!F$135*I12)</f>
        <v>212.37788579666147</v>
      </c>
      <c r="N12" s="411">
        <f>((C$31*C$32)+C$30)+(HRWinterWheat!F$8*(1-C12))+(SUM(HRWinterWheat!F$9:F$14)*(1-D12))+(SUM(HRWinterWheat!F$21:F$61)*(1-E12))+((SUM(HRWinterWheat!F$63:F$70)*(1-J12))+(HRWinterWheat!J$116)*(1-F12))+(HRWinterWheat!J$117*(1-G12))+(HRWinterWheat!J$118*(1-H12))+(HRWinterWheat!F$135*(1-I12))</f>
        <v>104.1508705</v>
      </c>
      <c r="O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H$114*H12)+(HRWinterWheat!H$135*I12)</f>
        <v>266.44337644427617</v>
      </c>
      <c r="P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H$114*(1-H12))+(HRWinterWheat!H$135*(1-I12)))))</f>
        <v>104.1508705</v>
      </c>
      <c r="Q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I$114*H12)+(HRWinterWheat!I$135*I12)</f>
        <v>263.62608349925489</v>
      </c>
      <c r="R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I$114*(1-H12))+(HRWinterWheat!I$135*(1-I12))</f>
        <v>104.1508705</v>
      </c>
      <c r="S12">
        <v>325.26</v>
      </c>
      <c r="T12" s="40">
        <f t="shared" si="5"/>
        <v>316.52875629666147</v>
      </c>
      <c r="U12" s="40">
        <f t="shared" si="6"/>
        <v>8.7312437033385208</v>
      </c>
      <c r="V12" s="40"/>
      <c r="W12" s="323" t="str">
        <f>'Prices_Yields&amp;SeedInputs'!B25</f>
        <v>HR Winter Wheat</v>
      </c>
      <c r="X12" s="323"/>
      <c r="Y12" s="324">
        <f t="shared" si="2"/>
        <v>0</v>
      </c>
      <c r="Z12" s="1">
        <f t="shared" si="3"/>
        <v>0</v>
      </c>
      <c r="AA12" s="325">
        <f t="shared" si="4"/>
        <v>0</v>
      </c>
      <c r="AB12" s="1">
        <f>IF('Farm and Rotation Setup'!$D$5="Hard Red Winter Wheat",'Farm and Rotation Setup'!$G$5,0)</f>
        <v>0</v>
      </c>
      <c r="AC12" s="1">
        <f>IF('Farm and Rotation Setup'!$D$6="Hard Red Winter Wheat",'Farm and Rotation Setup'!$G$6,0)</f>
        <v>0</v>
      </c>
      <c r="AD12" s="1">
        <f>IF('Farm and Rotation Setup'!$D$7="Hard Red Winter Wheat",'Farm and Rotation Setup'!$G$7,0)</f>
        <v>0</v>
      </c>
      <c r="AE12" s="1">
        <f>IF('Farm and Rotation Setup'!$D$8="Hard Red Winter Wheat",'Farm and Rotation Setup'!$G$8,0)</f>
        <v>0</v>
      </c>
      <c r="AF12" s="322">
        <f>IF('Farm and Rotation Setup'!$D$9="Hard Red Winter Wheat",'Farm and Rotation Setup'!$G$9,0)</f>
        <v>0</v>
      </c>
      <c r="AG12" s="1">
        <f>IF('Farm and Rotation Setup'!$D$14="Hard Red Winter Wheat",'Farm and Rotation Setup'!$G$14,0)</f>
        <v>0</v>
      </c>
      <c r="AH12" s="1">
        <f>IF('Farm and Rotation Setup'!$D$15="Hard Red Winter Wheat",'Farm and Rotation Setup'!$G$15,0)</f>
        <v>0</v>
      </c>
      <c r="AI12" s="1">
        <f>IF('Farm and Rotation Setup'!$D$16="Hard Red Winter Wheat",'Farm and Rotation Setup'!$G$16,0)</f>
        <v>0</v>
      </c>
      <c r="AJ12" s="1">
        <f>IF('Farm and Rotation Setup'!$D$17="Hard Red Winter Wheat",'Farm and Rotation Setup'!$G$17,0)</f>
        <v>0</v>
      </c>
      <c r="AK12" s="322">
        <f>IF('Farm and Rotation Setup'!$D$18="Hard Red Winter Wheat",'Farm and Rotation Setup'!$G$18,0)</f>
        <v>0</v>
      </c>
      <c r="AL12" s="1">
        <f>IF('Farm and Rotation Setup'!$D$23="Hard Red Winter Wheat",'Farm and Rotation Setup'!$G$23,0)</f>
        <v>0</v>
      </c>
      <c r="AM12" s="1">
        <f>IF('Farm and Rotation Setup'!$D$24="Hard Red Winter Wheat",'Farm and Rotation Setup'!$G$24,0)</f>
        <v>0</v>
      </c>
      <c r="AN12" s="1">
        <f>IF('Farm and Rotation Setup'!$D$25="Hard Red Winter Wheat",'Farm and Rotation Setup'!$G$25,0)</f>
        <v>0</v>
      </c>
      <c r="AO12" s="1">
        <f>IF('Farm and Rotation Setup'!$D$26="Hard Red Winter Wheat",'Farm and Rotation Setup'!$G$26,0)</f>
        <v>0</v>
      </c>
      <c r="AP12" s="322">
        <f>IF('Farm and Rotation Setup'!$D$27="Hard Red Winter Wheat",'Farm and Rotation Setup'!$G$27,0)</f>
        <v>0</v>
      </c>
    </row>
    <row r="13" spans="1:42" ht="20">
      <c r="A13" s="4"/>
      <c r="B13" s="5" t="str">
        <f>'Prices_Yields&amp;SeedInputs'!B20</f>
        <v>Spring Barley</v>
      </c>
      <c r="C13" s="222">
        <v>1</v>
      </c>
      <c r="D13" s="222">
        <v>0.67</v>
      </c>
      <c r="E13" s="222">
        <v>0.67</v>
      </c>
      <c r="F13" s="222">
        <v>1</v>
      </c>
      <c r="G13" s="222">
        <v>1</v>
      </c>
      <c r="H13" s="222">
        <v>1</v>
      </c>
      <c r="I13" s="222">
        <v>1</v>
      </c>
      <c r="J13" s="222">
        <v>1</v>
      </c>
      <c r="K13" s="222"/>
      <c r="L13" s="222"/>
      <c r="M13" s="410" cm="1">
        <f t="array" ref="M13">(SpringBarley!F$8*C13)+(SUM(SpringBarley!F$9:F$14*D13))+(SUM(SpringBarley!F$21:F$61)*E13)+(SUM(SpringBarley!F$63:F$70)*J13)+(SpringBarley!J$116*F13)+(SpringBarley!J$117*G13)+(SpringBarley!J$118*H13)+(SpringBarley!F$135*I13)</f>
        <v>183.53478579666148</v>
      </c>
      <c r="N13" s="411">
        <f>((C$31*C$32)+C$30)+(SpringBarley!F$8*(1-C13))+(SUM(SpringBarley!F$9:F$14)*(1-D13))+(SUM(SpringBarley!F$21:F$61)*(1-E13))+((SUM(SpringBarley!F$63:F$70)*(1-J13))+(SpringBarley!J$116)*(1-F13))+(SpringBarley!J$117*(1-G13))+(SpringBarley!J$118*(1-H13))+(SpringBarley!F$135*(1-I13))</f>
        <v>95.263970499999999</v>
      </c>
      <c r="O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H$114*H13)+(SpringBarley!H$135*I13)</f>
        <v>237.60027644427615</v>
      </c>
      <c r="P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H$114*(1-H13))+(SpringBarley!H$135*(1-I13)))))</f>
        <v>95.263970499999999</v>
      </c>
      <c r="Q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I$114*H13)+(SpringBarley!I$135*I13)</f>
        <v>234.78298349925493</v>
      </c>
      <c r="R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I$114*(1-H13))+(SpringBarley!I$135*(1-I13))</f>
        <v>95.263970499999999</v>
      </c>
      <c r="S13">
        <v>326.26</v>
      </c>
      <c r="T13" s="40">
        <f t="shared" si="5"/>
        <v>278.79875629666151</v>
      </c>
      <c r="U13" s="40">
        <f t="shared" si="6"/>
        <v>47.461243703338482</v>
      </c>
      <c r="V13" s="40"/>
      <c r="W13" s="323" t="str">
        <f>'Prices_Yields&amp;SeedInputs'!B20</f>
        <v>Spring Barley</v>
      </c>
      <c r="X13" s="323"/>
      <c r="Y13" s="324">
        <f t="shared" si="2"/>
        <v>0</v>
      </c>
      <c r="Z13" s="1">
        <f t="shared" si="3"/>
        <v>0</v>
      </c>
      <c r="AA13" s="325">
        <f t="shared" si="4"/>
        <v>0</v>
      </c>
      <c r="AB13" s="1">
        <f>IF('Farm and Rotation Setup'!$D$5="Spring Barley",'Farm and Rotation Setup'!$G$5,0)</f>
        <v>0</v>
      </c>
      <c r="AC13" s="1">
        <f>IF('Farm and Rotation Setup'!$D$6="Spring Barley",'Farm and Rotation Setup'!$G$6,0)</f>
        <v>0</v>
      </c>
      <c r="AD13" s="1">
        <f>IF('Farm and Rotation Setup'!$D$7="Spring Barley",'Farm and Rotation Setup'!$G$7,0)</f>
        <v>0</v>
      </c>
      <c r="AE13" s="1">
        <f>IF('Farm and Rotation Setup'!$D$8="Spring Barley",'Farm and Rotation Setup'!$G$8,0)</f>
        <v>0</v>
      </c>
      <c r="AF13" s="322">
        <f>IF('Farm and Rotation Setup'!$D$9="Spring Barley",'Farm and Rotation Setup'!$G$9,0)</f>
        <v>0</v>
      </c>
      <c r="AG13" s="1">
        <f>IF('Farm and Rotation Setup'!$D$14="Spring Barley",'Farm and Rotation Setup'!$G$14,0)</f>
        <v>0</v>
      </c>
      <c r="AH13" s="1">
        <f>IF('Farm and Rotation Setup'!$D$15="Spring Barley",'Farm and Rotation Setup'!$G$15,0)</f>
        <v>0</v>
      </c>
      <c r="AI13" s="1">
        <f>IF('Farm and Rotation Setup'!$D$16="Spring Barley",'Farm and Rotation Setup'!$G$16,0)</f>
        <v>0</v>
      </c>
      <c r="AJ13" s="1">
        <f>IF('Farm and Rotation Setup'!$D$17="Spring Barley",'Farm and Rotation Setup'!$G$17,0)</f>
        <v>0</v>
      </c>
      <c r="AK13" s="322">
        <f>IF('Farm and Rotation Setup'!$D$18="Spring Barley",'Farm and Rotation Setup'!$G$18,0)</f>
        <v>0</v>
      </c>
      <c r="AL13" s="1">
        <f>IF('Farm and Rotation Setup'!$D$23="Spring Barley",'Farm and Rotation Setup'!$G$23,0)</f>
        <v>0</v>
      </c>
      <c r="AM13" s="1">
        <f>IF('Farm and Rotation Setup'!$D$24="Spring Barley",'Farm and Rotation Setup'!$G$24,0)</f>
        <v>0</v>
      </c>
      <c r="AN13" s="1">
        <f>IF('Farm and Rotation Setup'!$D$25="Spring Barley",'Farm and Rotation Setup'!$G$25,0)</f>
        <v>0</v>
      </c>
      <c r="AO13" s="1">
        <f>IF('Farm and Rotation Setup'!$D$26="Spring Barley",'Farm and Rotation Setup'!$G$26,0)</f>
        <v>0</v>
      </c>
      <c r="AP13" s="322">
        <f>IF('Farm and Rotation Setup'!$D$27="Spring Barley",'Farm and Rotation Setup'!$G$27,0)</f>
        <v>0</v>
      </c>
    </row>
    <row r="14" spans="1:42" ht="20">
      <c r="A14" s="4"/>
      <c r="B14" s="5" t="str">
        <f>'Prices_Yields&amp;SeedInputs'!B18</f>
        <v>Chem-Fallow</v>
      </c>
      <c r="C14" s="222">
        <v>1</v>
      </c>
      <c r="D14" s="222">
        <v>0.67</v>
      </c>
      <c r="E14" s="222">
        <v>0.67</v>
      </c>
      <c r="F14" s="222">
        <v>1</v>
      </c>
      <c r="G14" s="222">
        <v>1</v>
      </c>
      <c r="H14" s="222">
        <v>1</v>
      </c>
      <c r="I14" s="222">
        <v>1</v>
      </c>
      <c r="J14" s="222">
        <v>1</v>
      </c>
      <c r="K14" s="222"/>
      <c r="L14" s="222"/>
      <c r="M14" s="410" cm="1">
        <f t="array" ref="M14">('Chem-Fallow'!F$8*C14)+(SUM('Chem-Fallow'!F$9:F$14*D14))+(SUM('Chem-Fallow'!F$21:F$61)*E14)+(SUM('Chem-Fallow'!F$63:F$70)*J14)+('Chem-Fallow'!J$116*F14)+('Chem-Fallow'!J$117*G14)+('Chem-Fallow'!J$118*H14)+('Chem-Fallow'!F$135*I14)</f>
        <v>5.9323741402226924</v>
      </c>
      <c r="N14" s="411">
        <f>((C$31*C$32)+C$30)+('Chem-Fallow'!F$8*(1-C14))+(SUM('Chem-Fallow'!F$9:F$14)*(1-D14))+(SUM('Chem-Fallow'!F$21:F$61)*(1-E14))+((SUM('Chem-Fallow'!F$63:F$70)*(1-J14))+('Chem-Fallow'!J$116)*(1-F14))+('Chem-Fallow'!J$117*(1-G14))+('Chem-Fallow'!J$118*(1-H14))+('Chem-Fallow'!F$135*(1-I14))</f>
        <v>66.657309999999995</v>
      </c>
      <c r="O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H$114*H14)+('Chem-Fallow'!H$135*I14)</f>
        <v>8.2126850383814975</v>
      </c>
      <c r="P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H$114*(1-H14))+('Chem-Fallow'!H$135*(1-I14)))))</f>
        <v>66.657309999999995</v>
      </c>
      <c r="Q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I$114*H14)+('Chem-Fallow'!I$135*I14)</f>
        <v>8.1610889655301264</v>
      </c>
      <c r="R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I$114*(1-H14))+('Chem-Fallow'!I$135*(1-I14))</f>
        <v>66.657309999999995</v>
      </c>
      <c r="S14">
        <v>327.26</v>
      </c>
      <c r="T14" s="40">
        <f t="shared" si="5"/>
        <v>72.589684140222687</v>
      </c>
      <c r="U14" s="40">
        <f t="shared" si="6"/>
        <v>254.6703158597773</v>
      </c>
      <c r="V14" s="40"/>
      <c r="W14" s="323" t="str">
        <f>'Prices_Yields&amp;SeedInputs'!B18</f>
        <v>Chem-Fallow</v>
      </c>
      <c r="X14" s="323"/>
      <c r="Y14" s="324">
        <f t="shared" si="2"/>
        <v>0</v>
      </c>
      <c r="Z14" s="1">
        <f t="shared" si="3"/>
        <v>0</v>
      </c>
      <c r="AA14" s="325">
        <f t="shared" si="4"/>
        <v>0</v>
      </c>
      <c r="AB14" s="1">
        <f>IF('Farm and Rotation Setup'!$D$5="Chem-Fallow",'Farm and Rotation Setup'!$G$5,0)</f>
        <v>0</v>
      </c>
      <c r="AC14" s="1">
        <f>IF('Farm and Rotation Setup'!$D$6="Chem-Fallow",'Farm and Rotation Setup'!$G$6,0)</f>
        <v>0</v>
      </c>
      <c r="AD14" s="1">
        <f>IF('Farm and Rotation Setup'!$D$7="Chem-Fallow",'Farm and Rotation Setup'!$G$7,0)</f>
        <v>0</v>
      </c>
      <c r="AE14" s="1">
        <f>IF('Farm and Rotation Setup'!$D$8="Chem-Fallow",'Farm and Rotation Setup'!$G$8,0)</f>
        <v>0</v>
      </c>
      <c r="AF14" s="322">
        <f>IF('Farm and Rotation Setup'!$D$9="Chem-Fallow",'Farm and Rotation Setup'!$G$9,0)</f>
        <v>0</v>
      </c>
      <c r="AG14" s="1">
        <f>IF('Farm and Rotation Setup'!$D$14="Chem-Fallow",'Farm and Rotation Setup'!$G$14,0)</f>
        <v>0</v>
      </c>
      <c r="AH14" s="1">
        <f>IF('Farm and Rotation Setup'!$D$15="Chem-Fallow",'Farm and Rotation Setup'!$G$15,0)</f>
        <v>0</v>
      </c>
      <c r="AI14" s="1">
        <f>IF('Farm and Rotation Setup'!$D$16="Chem-Fallow",'Farm and Rotation Setup'!$G$16,0)</f>
        <v>0</v>
      </c>
      <c r="AJ14" s="1">
        <f>IF('Farm and Rotation Setup'!$D$17="Chem-Fallow",'Farm and Rotation Setup'!$G$17,0)</f>
        <v>0</v>
      </c>
      <c r="AK14" s="322">
        <f>IF('Farm and Rotation Setup'!$D$18="Chem-Fallow",'Farm and Rotation Setup'!$G$18,0)</f>
        <v>0</v>
      </c>
      <c r="AL14" s="1">
        <f>IF('Farm and Rotation Setup'!$D$23="Chem-Fallow",'Farm and Rotation Setup'!$G$23,0)</f>
        <v>0</v>
      </c>
      <c r="AM14" s="1">
        <f>IF('Farm and Rotation Setup'!$D$24="Chem-Fallow",'Farm and Rotation Setup'!$G$24,0)</f>
        <v>0</v>
      </c>
      <c r="AN14" s="1">
        <f>IF('Farm and Rotation Setup'!$D$25="Chem-Fallow",'Farm and Rotation Setup'!$G$25,0)</f>
        <v>0</v>
      </c>
      <c r="AO14" s="1">
        <f>IF('Farm and Rotation Setup'!$D$26="Chem-Fallow",'Farm and Rotation Setup'!$G$26,0)</f>
        <v>0</v>
      </c>
      <c r="AP14" s="322">
        <f>IF('Farm and Rotation Setup'!$D$27="Chem-Fallow",'Farm and Rotation Setup'!$G$27,0)</f>
        <v>0</v>
      </c>
    </row>
    <row r="15" spans="1:42" ht="20">
      <c r="A15" s="4"/>
      <c r="B15" s="5" t="str">
        <f>'Prices_Yields&amp;SeedInputs'!B19</f>
        <v>Flex-Fallow</v>
      </c>
      <c r="C15" s="222">
        <v>1</v>
      </c>
      <c r="D15" s="222">
        <v>0.67</v>
      </c>
      <c r="E15" s="222">
        <v>0.67</v>
      </c>
      <c r="F15" s="222">
        <v>1</v>
      </c>
      <c r="G15" s="222">
        <v>1</v>
      </c>
      <c r="H15" s="222">
        <v>1</v>
      </c>
      <c r="I15" s="222">
        <v>1</v>
      </c>
      <c r="J15" s="222">
        <v>1</v>
      </c>
      <c r="K15" s="222"/>
      <c r="L15" s="222"/>
      <c r="M15" s="410" cm="1">
        <f t="array" ref="M15">('Flex-Fallow'!F$8*C15)+(SUM('Flex-Fallow'!F$9:F$14*D15))+(SUM('Flex-Fallow'!F$21:F$61)*E15)+(SUM('Flex-Fallow'!F$63:F$70)*J15)+('Flex-Fallow'!J$116*F15)+('Flex-Fallow'!J$117*G15)+('Flex-Fallow'!J$118*H15)+('Flex-Fallow'!F$135*I15)</f>
        <v>5.9323741402226924</v>
      </c>
      <c r="N15" s="411">
        <f>((C$31*C$32)+C$30)+('Flex-Fallow'!F$8*(1-C15))+(SUM('Flex-Fallow'!F$9:F$14)*(1-D15))+(SUM('Flex-Fallow'!F$21:F$61)*(1-E15))+((SUM('Flex-Fallow'!F$63:F$70)*(1-J15))+('Flex-Fallow'!J$116)*(1-F15))+('Flex-Fallow'!J$117*(1-G15))+('Flex-Fallow'!J$118*(1-H15))+('Flex-Fallow'!F$135*(1-I15))</f>
        <v>66.657309999999995</v>
      </c>
      <c r="O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H$114*H15)+('Flex-Fallow'!H$135*I15)</f>
        <v>8.2126850383814975</v>
      </c>
      <c r="P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H$114*(1-H15))+('Flex-Fallow'!H$135*(1-I15)))))</f>
        <v>66.657309999999995</v>
      </c>
      <c r="Q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I$114*H15)+('Flex-Fallow'!I$135*I15)</f>
        <v>8.1610889655301264</v>
      </c>
      <c r="R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I$114*(1-H15))+('Flex-Fallow'!I$135*(1-I15))</f>
        <v>66.657309999999995</v>
      </c>
      <c r="S15">
        <v>328.26</v>
      </c>
      <c r="T15" s="40">
        <f t="shared" ref="T15" si="9">M15+N15</f>
        <v>72.589684140222687</v>
      </c>
      <c r="U15" s="40">
        <f t="shared" ref="U15" si="10">S15-T15</f>
        <v>255.6703158597773</v>
      </c>
      <c r="V15" s="40"/>
      <c r="W15" s="323" t="str">
        <f>'Prices_Yields&amp;SeedInputs'!B19</f>
        <v>Flex-Fallow</v>
      </c>
      <c r="X15" s="323"/>
      <c r="Y15" s="324">
        <f t="shared" si="2"/>
        <v>0</v>
      </c>
      <c r="Z15" s="1">
        <f t="shared" si="3"/>
        <v>0</v>
      </c>
      <c r="AA15" s="325">
        <f t="shared" si="4"/>
        <v>0</v>
      </c>
      <c r="AB15" s="1">
        <f>IF('Farm and Rotation Setup'!$D$5="Flex-Fallow",'Farm and Rotation Setup'!$G$5,0)</f>
        <v>0</v>
      </c>
      <c r="AC15" s="1">
        <f>IF('Farm and Rotation Setup'!$D$6="Flex-Fallow",'Farm and Rotation Setup'!$G$6,0)</f>
        <v>0</v>
      </c>
      <c r="AD15" s="1">
        <f>IF('Farm and Rotation Setup'!$D$7="Flex-Fallow",'Farm and Rotation Setup'!$G$7,0)</f>
        <v>0</v>
      </c>
      <c r="AE15" s="1">
        <f>IF('Farm and Rotation Setup'!$D$8="Flex-Fallow",'Farm and Rotation Setup'!$G$8,0)</f>
        <v>0</v>
      </c>
      <c r="AF15" s="322">
        <f>IF('Farm and Rotation Setup'!$D$9="Flex-Fallow",'Farm and Rotation Setup'!$G$9,0)</f>
        <v>0</v>
      </c>
      <c r="AG15" s="1">
        <f>IF('Farm and Rotation Setup'!$D$14="Flex-Fallow",'Farm and Rotation Setup'!$G$14,0)</f>
        <v>0</v>
      </c>
      <c r="AH15" s="1">
        <f>IF('Farm and Rotation Setup'!$D$15="Flex-Fallow",'Farm and Rotation Setup'!$G$15,0)</f>
        <v>0</v>
      </c>
      <c r="AI15" s="1">
        <f>IF('Farm and Rotation Setup'!$D$16="Flex-Fallow",'Farm and Rotation Setup'!$G$16,0)</f>
        <v>0</v>
      </c>
      <c r="AJ15" s="1">
        <f>IF('Farm and Rotation Setup'!$D$17="Flex-Fallow",'Farm and Rotation Setup'!$G$17,0)</f>
        <v>0</v>
      </c>
      <c r="AK15" s="322">
        <f>IF('Farm and Rotation Setup'!$D$18="Flex-Fallow",'Farm and Rotation Setup'!$G$18,0)</f>
        <v>0</v>
      </c>
      <c r="AL15" s="1">
        <f>IF('Farm and Rotation Setup'!$D$23="Flex-Fallow",'Farm and Rotation Setup'!$G$23,0)</f>
        <v>0</v>
      </c>
      <c r="AM15" s="1">
        <f>IF('Farm and Rotation Setup'!$D$24="Flex-Fallow",'Farm and Rotation Setup'!$G$24,0)</f>
        <v>0</v>
      </c>
      <c r="AN15" s="1">
        <f>IF('Farm and Rotation Setup'!$D$25="Flex-Fallow",'Farm and Rotation Setup'!$G$25,0)</f>
        <v>0</v>
      </c>
      <c r="AO15" s="1">
        <f>IF('Farm and Rotation Setup'!$D$26="Flex-Fallow",'Farm and Rotation Setup'!$G$26,0)</f>
        <v>0</v>
      </c>
      <c r="AP15" s="322">
        <f>IF('Farm and Rotation Setup'!$D$27="Flex-Fallow",'Farm and Rotation Setup'!$G$27,0)</f>
        <v>0</v>
      </c>
    </row>
    <row r="16" spans="1:42" ht="20">
      <c r="A16" s="4"/>
      <c r="B16" s="5" t="str">
        <f>'Prices_Yields&amp;SeedInputs'!B10</f>
        <v>Chickpea after Forage Crop</v>
      </c>
      <c r="C16" s="222">
        <v>1</v>
      </c>
      <c r="D16" s="222">
        <v>0.67</v>
      </c>
      <c r="E16" s="222">
        <v>0.67</v>
      </c>
      <c r="F16" s="222">
        <v>1</v>
      </c>
      <c r="G16" s="222">
        <v>1</v>
      </c>
      <c r="H16" s="222">
        <v>1</v>
      </c>
      <c r="I16" s="222">
        <v>1</v>
      </c>
      <c r="J16" s="222">
        <v>1</v>
      </c>
      <c r="K16" s="222"/>
      <c r="L16" s="222"/>
      <c r="M16" s="410" cm="1">
        <f t="array" ref="M16">(ChickpeaAfterForageCrop!F$8*C16)+(SUM(ChickpeaAfterForageCrop!F$9:F$14*D16))+(SUM(ChickpeaAfterForageCrop!F$21:F$61)*E16)+(SUM(ChickpeaAfterForageCrop!F$63:F$70)*J16)+(ChickpeaAfterForageCrop!J$116*F16)+(ChickpeaAfterForageCrop!J$117*G16)+(ChickpeaAfterForageCrop!J$118*H16)+(ChickpeaAfterForageCrop!F$135*I16)</f>
        <v>191.37604715643877</v>
      </c>
      <c r="N16" s="411">
        <f>((C$31*C$32)+C$30)+(ChickpeaAfterForageCrop!F$8*(1-C16))+(SUM(ChickpeaAfterForageCrop!F$9:F$14)*(1-D16))+(SUM(ChickpeaAfterForageCrop!F$21:F$61)*(1-E16))+((SUM(ChickpeaAfterForageCrop!F$63:F$70)*(1-J16))+(ChickpeaAfterForageCrop!J$116)*(1-F16))+(ChickpeaAfterForageCrop!J$117*(1-G16))+(ChickpeaAfterForageCrop!J$118*(1-H16))+(ChickpeaAfterForageCrop!F$135*(1-I16))</f>
        <v>75.943674999999985</v>
      </c>
      <c r="O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H$114*H16)+(ChickpeaAfterForageCrop!H$135*I16)</f>
        <v>243.16122690589464</v>
      </c>
      <c r="P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H$114*(1-H16))+(ChickpeaAfterForageCrop!H$135*(1-I16)))))</f>
        <v>75.943674999999999</v>
      </c>
      <c r="Q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I$114*H16)+(ChickpeaAfterForageCrop!I$135*I16)</f>
        <v>240.39553003372478</v>
      </c>
      <c r="R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I$114*(1-H16))+(ChickpeaAfterForageCrop!I$135*(1-I16))</f>
        <v>75.943674999999985</v>
      </c>
      <c r="S16">
        <v>328.26</v>
      </c>
      <c r="T16" s="40">
        <f t="shared" si="5"/>
        <v>267.31972215643873</v>
      </c>
      <c r="U16" s="40">
        <f t="shared" si="6"/>
        <v>60.940277843561262</v>
      </c>
      <c r="V16" s="40"/>
      <c r="W16" s="323" t="str">
        <f>'Prices_Yields&amp;SeedInputs'!B10</f>
        <v>Chickpea after Forage Crop</v>
      </c>
      <c r="X16" s="323"/>
      <c r="Y16" s="324">
        <f t="shared" si="2"/>
        <v>0</v>
      </c>
      <c r="Z16" s="1">
        <f t="shared" si="3"/>
        <v>250</v>
      </c>
      <c r="AA16" s="325">
        <f t="shared" si="4"/>
        <v>0</v>
      </c>
      <c r="AB16" s="1">
        <f>IF('Farm and Rotation Setup'!$D$5="Winter Pea",'Farm and Rotation Setup'!$G$5,0)</f>
        <v>0</v>
      </c>
      <c r="AC16" s="1">
        <f>IF('Farm and Rotation Setup'!$D$6="Winter Pea",'Farm and Rotation Setup'!$G$6,0)</f>
        <v>0</v>
      </c>
      <c r="AD16" s="1">
        <f>IF('Farm and Rotation Setup'!$D$7="Winter Pea",'Farm and Rotation Setup'!$G$7,0)</f>
        <v>0</v>
      </c>
      <c r="AE16" s="1">
        <f>IF('Farm and Rotation Setup'!$D$8="Winter Pea",'Farm and Rotation Setup'!$G$8,0)</f>
        <v>0</v>
      </c>
      <c r="AF16" s="322">
        <f>IF('Farm and Rotation Setup'!$D$9="Winter Pea",'Farm and Rotation Setup'!$G$9,0)</f>
        <v>0</v>
      </c>
      <c r="AG16" s="1">
        <f>IF('Farm and Rotation Setup'!$D$14="Winter Pea",'Farm and Rotation Setup'!$G$14,0)</f>
        <v>0</v>
      </c>
      <c r="AH16" s="1">
        <f>IF('Farm and Rotation Setup'!$D$15="Winter Pea",'Farm and Rotation Setup'!$G$15,0)</f>
        <v>0</v>
      </c>
      <c r="AI16" s="1">
        <f>IF('Farm and Rotation Setup'!$D$16="Winter Pea",'Farm and Rotation Setup'!$G$16,0)</f>
        <v>250</v>
      </c>
      <c r="AJ16" s="1">
        <f>IF('Farm and Rotation Setup'!$D$17="Winter Pea",'Farm and Rotation Setup'!$G$17,0)</f>
        <v>0</v>
      </c>
      <c r="AK16" s="322">
        <f>IF('Farm and Rotation Setup'!$D$18="Winter Pea",'Farm and Rotation Setup'!$G$18,0)</f>
        <v>0</v>
      </c>
      <c r="AL16" s="1">
        <f>IF('Farm and Rotation Setup'!$D$23="Winter Pea",'Farm and Rotation Setup'!$G$23,0)</f>
        <v>0</v>
      </c>
      <c r="AM16" s="1">
        <f>IF('Farm and Rotation Setup'!$D$24="Winter Pea",'Farm and Rotation Setup'!$G$24,0)</f>
        <v>0</v>
      </c>
      <c r="AN16" s="1">
        <f>IF('Farm and Rotation Setup'!$D$25="Winter Pea",'Farm and Rotation Setup'!$G$25,0)</f>
        <v>0</v>
      </c>
      <c r="AO16" s="1">
        <f>IF('Farm and Rotation Setup'!$D$26="Winter Pea",'Farm and Rotation Setup'!$G$26,0)</f>
        <v>0</v>
      </c>
      <c r="AP16" s="322">
        <f>IF('Farm and Rotation Setup'!$D$27="Winter Pea",'Farm and Rotation Setup'!$G$27,0)</f>
        <v>0</v>
      </c>
    </row>
    <row r="17" spans="1:42" ht="20">
      <c r="A17" s="4"/>
      <c r="B17" s="5" t="str">
        <f>'Prices_Yields&amp;SeedInputs'!B26</f>
        <v>Winter Pea</v>
      </c>
      <c r="C17" s="222">
        <v>1</v>
      </c>
      <c r="D17" s="222">
        <v>0.67</v>
      </c>
      <c r="E17" s="222">
        <v>0.67</v>
      </c>
      <c r="F17" s="222">
        <v>1</v>
      </c>
      <c r="G17" s="222">
        <v>1</v>
      </c>
      <c r="H17" s="222">
        <v>1</v>
      </c>
      <c r="I17" s="222">
        <v>1</v>
      </c>
      <c r="J17" s="222">
        <v>1</v>
      </c>
      <c r="K17" s="222"/>
      <c r="L17" s="222"/>
      <c r="M17" s="410" cm="1">
        <f t="array" ref="M17">(WinterPea!F$8*C17)+(SUM(WinterPea!F$9:F$14*D17))+(SUM(WinterPea!F$21:F$61)*E17)+(SUM(WinterPea!F$63:F$70)*J17)+(WinterPea!J$116*F17)+(WinterPea!J$117*G17)+(WinterPea!J$118*H17)+(WinterPea!F$135*I17)</f>
        <v>190.47604715643877</v>
      </c>
      <c r="N17" s="411">
        <f>((C$31*C$32)+C$30)+(WinterPea!F$8*(1-C17))+(SUM(WinterPea!F$9:F$14)*(1-D17))+(SUM(WinterPea!F$21:F$61)*(1-E17))+((SUM(WinterPea!F$63:F$70)*(1-J17))+(WinterPea!J$116)*(1-F17))+(WinterPea!J$117*(1-G17))+(WinterPea!J$118*(1-H17))+(WinterPea!F$135*(1-I17))</f>
        <v>75.943674999999985</v>
      </c>
      <c r="O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H$114*H17)+(WinterPea!H$135*I17)</f>
        <v>242.2612269058946</v>
      </c>
      <c r="P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H$114*(1-H17))+(WinterPea!H$135*(1-I17)))))</f>
        <v>75.943674999999999</v>
      </c>
      <c r="Q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I$114*H17)+(WinterPea!I$135*I17)</f>
        <v>239.49553003372478</v>
      </c>
      <c r="R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I$114*(1-H17))+(WinterPea!I$135*(1-I17))</f>
        <v>75.943674999999985</v>
      </c>
      <c r="S17">
        <v>329.26</v>
      </c>
      <c r="T17" s="40">
        <f t="shared" ref="T17:T18" si="11">M17+N17</f>
        <v>266.41972215643875</v>
      </c>
      <c r="U17" s="40">
        <f t="shared" ref="U17:U18" si="12">S17-T17</f>
        <v>62.840277843561239</v>
      </c>
      <c r="V17" s="40"/>
      <c r="W17" s="323" t="str">
        <f>'Prices_Yields&amp;SeedInputs'!B26</f>
        <v>Winter Pea</v>
      </c>
      <c r="X17" s="323"/>
      <c r="Y17" s="324">
        <f t="shared" si="2"/>
        <v>0</v>
      </c>
      <c r="Z17" s="1">
        <f t="shared" si="3"/>
        <v>0</v>
      </c>
      <c r="AA17" s="325">
        <f t="shared" si="4"/>
        <v>0</v>
      </c>
      <c r="AB17" s="1">
        <f>IF('Farm and Rotation Setup'!$D$5="Winter Pea after Fallow",'Farm and Rotation Setup'!$G$5,0)</f>
        <v>0</v>
      </c>
      <c r="AC17" s="1">
        <f>IF('Farm and Rotation Setup'!$D$6="Winter Pea after Fallow",'Farm and Rotation Setup'!$G$6,0)</f>
        <v>0</v>
      </c>
      <c r="AD17" s="1">
        <f>IF('Farm and Rotation Setup'!$D$7="Winter Pea after Fallow",'Farm and Rotation Setup'!$G$7,0)</f>
        <v>0</v>
      </c>
      <c r="AE17" s="1">
        <f>IF('Farm and Rotation Setup'!$D$8="Winter Pea after Fallow",'Farm and Rotation Setup'!$G$8,0)</f>
        <v>0</v>
      </c>
      <c r="AF17" s="322">
        <f>IF('Farm and Rotation Setup'!$D$9="Winter Pea after Fallow",'Farm and Rotation Setup'!$G$9,0)</f>
        <v>0</v>
      </c>
      <c r="AG17" s="1">
        <f>IF('Farm and Rotation Setup'!$D$14="Winter Pea after Fallow",'Farm and Rotation Setup'!$G$14,0)</f>
        <v>0</v>
      </c>
      <c r="AH17" s="1">
        <f>IF('Farm and Rotation Setup'!$D$15="Winter Pea after Fallow",'Farm and Rotation Setup'!$G$15,0)</f>
        <v>0</v>
      </c>
      <c r="AI17" s="1">
        <f>IF('Farm and Rotation Setup'!$D$16="Winter Pea after Fallow",'Farm and Rotation Setup'!$G$16,0)</f>
        <v>0</v>
      </c>
      <c r="AJ17" s="1">
        <f>IF('Farm and Rotation Setup'!$D$17="Winter Pea after Fallow",'Farm and Rotation Setup'!$G$17,0)</f>
        <v>0</v>
      </c>
      <c r="AK17" s="322">
        <f>IF('Farm and Rotation Setup'!$D$18="Winter Pea after Fallow",'Farm and Rotation Setup'!$G$18,0)</f>
        <v>0</v>
      </c>
      <c r="AL17" s="1">
        <f>IF('Farm and Rotation Setup'!$D$23="Winter Pea after Fallow",'Farm and Rotation Setup'!$G$23,0)</f>
        <v>0</v>
      </c>
      <c r="AM17" s="1">
        <f>IF('Farm and Rotation Setup'!$D$24="Winter Pea after Fallow",'Farm and Rotation Setup'!$G$24,0)</f>
        <v>0</v>
      </c>
      <c r="AN17" s="1">
        <f>IF('Farm and Rotation Setup'!$D$25="Winter Pea after Fallow",'Farm and Rotation Setup'!$G$25,0)</f>
        <v>0</v>
      </c>
      <c r="AO17" s="1">
        <f>IF('Farm and Rotation Setup'!$D$26="Winter Pea after Fallow",'Farm and Rotation Setup'!$G$26,0)</f>
        <v>0</v>
      </c>
      <c r="AP17" s="322">
        <f>IF('Farm and Rotation Setup'!$D$27="Winter Pea after Fallow",'Farm and Rotation Setup'!$G$27,0)</f>
        <v>0</v>
      </c>
    </row>
    <row r="18" spans="1:42" ht="20">
      <c r="A18" s="4"/>
      <c r="B18" s="5" t="str">
        <f>'Prices_Yields&amp;SeedInputs'!B12</f>
        <v>Spring Pea after Cereal</v>
      </c>
      <c r="C18" s="222">
        <v>1</v>
      </c>
      <c r="D18" s="222">
        <v>0.67</v>
      </c>
      <c r="E18" s="222">
        <v>0.67</v>
      </c>
      <c r="F18" s="222">
        <v>1</v>
      </c>
      <c r="G18" s="222">
        <v>1</v>
      </c>
      <c r="H18" s="222">
        <v>1</v>
      </c>
      <c r="I18" s="222">
        <v>1</v>
      </c>
      <c r="J18" s="222">
        <v>1</v>
      </c>
      <c r="K18" s="222"/>
      <c r="L18" s="222"/>
      <c r="M18" s="410" cm="1">
        <f t="array" ref="M18">(SpringPeaAfterCereal!F$8*C18)+(SUM(SpringPeaAfterCereal!F$9:F$14*D18))+(SUM(SpringPeaAfterCereal!F$21:F$61)*E18)+(SUM(SpringPeaAfterCereal!F$63:F$70)*J18)+(SpringPeaAfterCereal!J$116*F18)+(SpringPeaAfterCereal!J$117*G18)+(SpringPeaAfterCereal!J$118*H18)+(SpringPeaAfterCereal!F$135*I18)</f>
        <v>197.82353515643879</v>
      </c>
      <c r="N18" s="411">
        <f>((C$31*C$32)+C$30)+(SpringPeaAfterCereal!F$8*(1-C18))+(SUM(SpringPeaAfterCereal!F$9:F$14)*(1-D18))+(SUM(SpringPeaAfterCereal!F$21:F$61)*(1-E18))+((SUM(SpringPeaAfterCereal!F$63:F$70)*(1-J18))+(SpringPeaAfterCereal!J$116)*(1-F18))+(SpringPeaAfterCereal!J$117*(1-G18))+(SpringPeaAfterCereal!J$118*(1-H18))+(SpringPeaAfterCereal!F$135*(1-I18))</f>
        <v>79.562586999999994</v>
      </c>
      <c r="O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H$114*H18)+(SpringPeaAfterCereal!H$135*I18)</f>
        <v>249.60871490589466</v>
      </c>
      <c r="P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H$114*(1-H18))+(SpringPeaAfterCereal!H$135*(1-I18)))))</f>
        <v>79.562587000000008</v>
      </c>
      <c r="Q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I$114*H18)+(SpringPeaAfterCereal!I$135*I18)</f>
        <v>246.8430180337248</v>
      </c>
      <c r="R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I$114*(1-H18))+(SpringPeaAfterCereal!I$135*(1-I18))</f>
        <v>79.562586999999994</v>
      </c>
      <c r="S18">
        <v>330.26</v>
      </c>
      <c r="T18" s="40">
        <f t="shared" si="11"/>
        <v>277.38612215643877</v>
      </c>
      <c r="U18" s="40">
        <f t="shared" si="12"/>
        <v>52.873877843561218</v>
      </c>
      <c r="V18" s="40"/>
      <c r="W18" s="323" t="str">
        <f>'Prices_Yields&amp;SeedInputs'!B12</f>
        <v>Spring Pea after Cereal</v>
      </c>
      <c r="X18" s="323"/>
      <c r="Y18" s="324">
        <f t="shared" si="2"/>
        <v>0</v>
      </c>
      <c r="Z18" s="1">
        <f t="shared" si="3"/>
        <v>0</v>
      </c>
      <c r="AA18" s="325">
        <f t="shared" si="4"/>
        <v>0</v>
      </c>
      <c r="AB18" s="1">
        <f>IF('Farm and Rotation Setup'!$D$5="Spring Pea",'Farm and Rotation Setup'!$G$5,0)</f>
        <v>0</v>
      </c>
      <c r="AC18" s="1">
        <f>IF('Farm and Rotation Setup'!$D$6="Spring Pea",'Farm and Rotation Setup'!$G$6,0)</f>
        <v>0</v>
      </c>
      <c r="AD18" s="1">
        <f>IF('Farm and Rotation Setup'!$D$7="Spring Pea",'Farm and Rotation Setup'!$G$7,0)</f>
        <v>0</v>
      </c>
      <c r="AE18" s="1">
        <f>IF('Farm and Rotation Setup'!$D$8="Spring Pea",'Farm and Rotation Setup'!$G$8,0)</f>
        <v>0</v>
      </c>
      <c r="AF18" s="322">
        <f>IF('Farm and Rotation Setup'!$D$9="Spring Pea",'Farm and Rotation Setup'!$G$9,0)</f>
        <v>0</v>
      </c>
      <c r="AG18" s="1">
        <f>IF('Farm and Rotation Setup'!$D$14="Spring Pea",'Farm and Rotation Setup'!$G$14,0)</f>
        <v>0</v>
      </c>
      <c r="AH18" s="1">
        <f>IF('Farm and Rotation Setup'!$D$15="Spring Pea",'Farm and Rotation Setup'!$G$15,0)</f>
        <v>0</v>
      </c>
      <c r="AI18" s="1">
        <f>IF('Farm and Rotation Setup'!$D$16="Spring Pea",'Farm and Rotation Setup'!$G$16,0)</f>
        <v>0</v>
      </c>
      <c r="AJ18" s="1">
        <f>IF('Farm and Rotation Setup'!$D$17="Spring Pea",'Farm and Rotation Setup'!$G$17,0)</f>
        <v>0</v>
      </c>
      <c r="AK18" s="322">
        <f>IF('Farm and Rotation Setup'!$D$18="Spring Pea",'Farm and Rotation Setup'!$G$18,0)</f>
        <v>0</v>
      </c>
      <c r="AL18" s="1">
        <f>IF('Farm and Rotation Setup'!$D$23="Spring Pea",'Farm and Rotation Setup'!$G$23,0)</f>
        <v>0</v>
      </c>
      <c r="AM18" s="1">
        <f>IF('Farm and Rotation Setup'!$D$24="Spring Pea",'Farm and Rotation Setup'!$G$24,0)</f>
        <v>0</v>
      </c>
      <c r="AN18" s="1">
        <f>IF('Farm and Rotation Setup'!$D$25="Spring Pea",'Farm and Rotation Setup'!$G$25,0)</f>
        <v>0</v>
      </c>
      <c r="AO18" s="1">
        <f>IF('Farm and Rotation Setup'!$D$26="Spring Pea",'Farm and Rotation Setup'!$G$26,0)</f>
        <v>0</v>
      </c>
      <c r="AP18" s="322">
        <f>IF('Farm and Rotation Setup'!$D$27="Spring Pea",'Farm and Rotation Setup'!$G$27,0)</f>
        <v>0</v>
      </c>
    </row>
    <row r="19" spans="1:42" ht="20">
      <c r="A19" s="4"/>
      <c r="B19" s="5" t="str">
        <f>'Prices_Yields&amp;SeedInputs'!B11</f>
        <v>Chickpea after Cereal</v>
      </c>
      <c r="C19" s="222">
        <v>1</v>
      </c>
      <c r="D19" s="222">
        <v>0.67</v>
      </c>
      <c r="E19" s="222">
        <v>0.67</v>
      </c>
      <c r="F19" s="222">
        <v>1</v>
      </c>
      <c r="G19" s="222">
        <v>1</v>
      </c>
      <c r="H19" s="222">
        <v>1</v>
      </c>
      <c r="I19" s="222">
        <v>1</v>
      </c>
      <c r="J19" s="222">
        <v>1</v>
      </c>
      <c r="K19" s="222"/>
      <c r="L19" s="222"/>
      <c r="M19" s="410" cm="1">
        <f t="array" ref="M19">(ChickpeaAfterCereal!F$8*C19)+(SUM(ChickpeaAfterCereal!F$9:F$14*D19))+(SUM(ChickpeaAfterCereal!F$21:F$61)*E19)+(SUM(ChickpeaAfterCereal!F$63:F$70)*J19)+(ChickpeaAfterCereal!J$116*F19)+(ChickpeaAfterCereal!J$117*G19)+(ChickpeaAfterCereal!J$118*H19)+(ChickpeaAfterCereal!F$135*I19)</f>
        <v>198.03054715643879</v>
      </c>
      <c r="N19" s="411">
        <f>((C$31*C$32)+C$30)+(ChickpeaAfterCereal!F$8*(1-C19))+(SUM(ChickpeaAfterCereal!F$9:F$14)*(1-D19))+(SUM(ChickpeaAfterCereal!F$21:F$61)*(1-E19))+((SUM(ChickpeaAfterCereal!F$63:F$70)*(1-J19))+(ChickpeaAfterCereal!J$116)*(1-F19))+(ChickpeaAfterCereal!J$117*(1-G19))+(ChickpeaAfterCereal!J$118*(1-H19))+(ChickpeaAfterCereal!F$135*(1-I19))</f>
        <v>79.689175000000006</v>
      </c>
      <c r="O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H$114*H19)+(ChickpeaAfterCereal!H$135*I19)</f>
        <v>249.81572690589462</v>
      </c>
      <c r="P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H$114*(1-H19))+(ChickpeaAfterCereal!H$135*(1-I19)))))</f>
        <v>79.689174999999992</v>
      </c>
      <c r="Q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I$114*H19)+(ChickpeaAfterCereal!I$135*I19)</f>
        <v>247.05003003372479</v>
      </c>
      <c r="R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I$114*(1-H19))+(ChickpeaAfterCereal!I$135*(1-I19))</f>
        <v>79.689175000000006</v>
      </c>
      <c r="S19">
        <v>329.26</v>
      </c>
      <c r="T19" s="40">
        <f t="shared" si="5"/>
        <v>277.71972215643882</v>
      </c>
      <c r="U19" s="40">
        <f t="shared" si="6"/>
        <v>51.540277843561171</v>
      </c>
      <c r="V19" s="40"/>
      <c r="W19" s="323" t="str">
        <f>'Prices_Yields&amp;SeedInputs'!B11</f>
        <v>Chickpea after Cereal</v>
      </c>
      <c r="X19" s="323"/>
      <c r="Y19" s="324">
        <f t="shared" si="2"/>
        <v>0</v>
      </c>
      <c r="Z19" s="1">
        <f t="shared" si="3"/>
        <v>0</v>
      </c>
      <c r="AA19" s="325">
        <f t="shared" si="4"/>
        <v>0</v>
      </c>
      <c r="AB19" s="1">
        <f>IF('Farm and Rotation Setup'!$D$5="Spring Chickpea",'Farm and Rotation Setup'!$G$5,0)</f>
        <v>0</v>
      </c>
      <c r="AC19" s="1">
        <f>IF('Farm and Rotation Setup'!$D$6="Spring Chickpea",'Farm and Rotation Setup'!$G$6,0)</f>
        <v>0</v>
      </c>
      <c r="AD19" s="1">
        <f>IF('Farm and Rotation Setup'!$D$7="Spring Chickpea",'Farm and Rotation Setup'!$G$7,0)</f>
        <v>0</v>
      </c>
      <c r="AE19" s="1">
        <f>IF('Farm and Rotation Setup'!$D$8="Spring Chickpea",'Farm and Rotation Setup'!$G$8,0)</f>
        <v>0</v>
      </c>
      <c r="AF19" s="322">
        <f>IF('Farm and Rotation Setup'!$D$9="Spring Chickpea",'Farm and Rotation Setup'!$G$9,0)</f>
        <v>0</v>
      </c>
      <c r="AG19" s="1">
        <f>IF('Farm and Rotation Setup'!$D$14="Spring Chickpea",'Farm and Rotation Setup'!$G$14,0)</f>
        <v>0</v>
      </c>
      <c r="AH19" s="1">
        <f>IF('Farm and Rotation Setup'!$D$15="Spring Chickpea",'Farm and Rotation Setup'!$G$15,0)</f>
        <v>0</v>
      </c>
      <c r="AI19" s="1">
        <f>IF('Farm and Rotation Setup'!$D$16="Spring Chickpea",'Farm and Rotation Setup'!$G$16,0)</f>
        <v>0</v>
      </c>
      <c r="AJ19" s="1">
        <f>IF('Farm and Rotation Setup'!$D$17="Spring Chickpea",'Farm and Rotation Setup'!$G$17,0)</f>
        <v>0</v>
      </c>
      <c r="AK19" s="322">
        <f>IF('Farm and Rotation Setup'!$D$18="Spring Chickpea",'Farm and Rotation Setup'!$G$18,0)</f>
        <v>0</v>
      </c>
      <c r="AL19" s="1">
        <f>IF('Farm and Rotation Setup'!$D$23="Spring Chickpea",'Farm and Rotation Setup'!$G$23,0)</f>
        <v>0</v>
      </c>
      <c r="AM19" s="1">
        <f>IF('Farm and Rotation Setup'!$D$24="Spring Chickpea",'Farm and Rotation Setup'!$G$24,0)</f>
        <v>0</v>
      </c>
      <c r="AN19" s="1">
        <f>IF('Farm and Rotation Setup'!$D$25="Spring Chickpea",'Farm and Rotation Setup'!$G$25,0)</f>
        <v>0</v>
      </c>
      <c r="AO19" s="1">
        <f>IF('Farm and Rotation Setup'!$D$26="Spring Chickpea",'Farm and Rotation Setup'!$G$26,0)</f>
        <v>0</v>
      </c>
      <c r="AP19" s="322">
        <f>IF('Farm and Rotation Setup'!$D$27="Spring Chickpea",'Farm and Rotation Setup'!$G$27,0)</f>
        <v>0</v>
      </c>
    </row>
    <row r="20" spans="1:42" ht="20">
      <c r="A20" s="4"/>
      <c r="B20" s="5" t="str">
        <f>'Prices_Yields&amp;SeedInputs'!B23</f>
        <v>Spring Lentils</v>
      </c>
      <c r="C20" s="222">
        <v>1</v>
      </c>
      <c r="D20" s="222">
        <v>0.67</v>
      </c>
      <c r="E20" s="222">
        <v>0.67</v>
      </c>
      <c r="F20" s="222">
        <v>1</v>
      </c>
      <c r="G20" s="222">
        <v>1</v>
      </c>
      <c r="H20" s="222">
        <v>1</v>
      </c>
      <c r="I20" s="222">
        <v>1</v>
      </c>
      <c r="J20" s="222">
        <v>1</v>
      </c>
      <c r="K20" s="222"/>
      <c r="L20" s="222"/>
      <c r="M20" s="410" cm="1">
        <f t="array" ref="M20">(SpringLentils!F$8*C20)+(SUM(SpringLentils!F$9:F$14*D20))+(SUM(SpringLentils!F$21:F$61)*E20)+(SUM(SpringLentils!F$63:F$70)*J20)+(SpringLentils!J$116*F20)+(SpringLentils!J$117*G20)+(SpringLentils!J$118*H20)+(SpringLentils!F$135*I20)</f>
        <v>161.19982265643878</v>
      </c>
      <c r="N20" s="411">
        <f>((C$31*C$32)+C$30)+(SpringLentils!F$8*(1-C20))+(SUM(SpringLentils!F$9:F$14)*(1-D20))+(SUM(SpringLentils!F$21:F$61)*(1-E20))+((SUM(SpringLentils!F$63:F$70)*(1-J20))+(SpringLentils!J$116)*(1-F20))+(SpringLentils!J$117*(1-G20))+(SpringLentils!J$118*(1-H20))+(SpringLentils!F$135*(1-I20))</f>
        <v>86.372549500000005</v>
      </c>
      <c r="O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H$114*H20)+(SpringLentils!H$135*I20)</f>
        <v>212.98500240589465</v>
      </c>
      <c r="P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H$114*(1-H20))+(SpringLentils!H$135*(1-I20)))))</f>
        <v>86.372549500000005</v>
      </c>
      <c r="Q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I$114*H20)+(SpringLentils!I$135*I20)</f>
        <v>210.21930553372479</v>
      </c>
      <c r="R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I$114*(1-H20))+(SpringLentils!I$135*(1-I20))</f>
        <v>86.372549500000005</v>
      </c>
      <c r="S20">
        <v>330.26</v>
      </c>
      <c r="T20" s="40">
        <f t="shared" si="5"/>
        <v>247.5723721564388</v>
      </c>
      <c r="U20" s="40">
        <f t="shared" si="6"/>
        <v>82.687627843561188</v>
      </c>
      <c r="V20" s="40"/>
      <c r="W20" s="323" t="str">
        <f>'Prices_Yields&amp;SeedInputs'!B23</f>
        <v>Spring Lentils</v>
      </c>
      <c r="X20" s="323"/>
      <c r="Y20" s="324">
        <f t="shared" si="2"/>
        <v>0</v>
      </c>
      <c r="Z20" s="1">
        <f t="shared" si="3"/>
        <v>0</v>
      </c>
      <c r="AA20" s="325">
        <f t="shared" si="4"/>
        <v>0</v>
      </c>
      <c r="AB20" s="1">
        <f>IF('Farm and Rotation Setup'!$D$5="Spring Lentils",'Farm and Rotation Setup'!$G$5,0)</f>
        <v>0</v>
      </c>
      <c r="AC20" s="1">
        <f>IF('Farm and Rotation Setup'!$D$6="Spring Lentils",'Farm and Rotation Setup'!$G$6,0)</f>
        <v>0</v>
      </c>
      <c r="AD20" s="1">
        <f>IF('Farm and Rotation Setup'!$D$7="Spring Lentils",'Farm and Rotation Setup'!$G$7,0)</f>
        <v>0</v>
      </c>
      <c r="AE20" s="1">
        <f>IF('Farm and Rotation Setup'!$D$8="Spring Lentils",'Farm and Rotation Setup'!$G$8,0)</f>
        <v>0</v>
      </c>
      <c r="AF20" s="322">
        <f>IF('Farm and Rotation Setup'!$D$9="Spring Lentils",'Farm and Rotation Setup'!$G$9,0)</f>
        <v>0</v>
      </c>
      <c r="AG20" s="1">
        <f>IF('Farm and Rotation Setup'!$D$14="Spring Lentils",'Farm and Rotation Setup'!$G$14,0)</f>
        <v>0</v>
      </c>
      <c r="AH20" s="1">
        <f>IF('Farm and Rotation Setup'!$D$15="Spring Lentils",'Farm and Rotation Setup'!$G$15,0)</f>
        <v>0</v>
      </c>
      <c r="AI20" s="1">
        <f>IF('Farm and Rotation Setup'!$D$16="Spring Lentils",'Farm and Rotation Setup'!$G$16,0)</f>
        <v>0</v>
      </c>
      <c r="AJ20" s="1">
        <f>IF('Farm and Rotation Setup'!$D$17="Spring Lentils",'Farm and Rotation Setup'!$G$17,0)</f>
        <v>0</v>
      </c>
      <c r="AK20" s="322">
        <f>IF('Farm and Rotation Setup'!$D$18="Spring Lentils",'Farm and Rotation Setup'!$G$18,0)</f>
        <v>0</v>
      </c>
      <c r="AL20" s="1">
        <f>IF('Farm and Rotation Setup'!$D$23="Spring Lentils",'Farm and Rotation Setup'!$G$23,0)</f>
        <v>0</v>
      </c>
      <c r="AM20" s="1">
        <f>IF('Farm and Rotation Setup'!$D$24="Spring Lentils",'Farm and Rotation Setup'!$G$24,0)</f>
        <v>0</v>
      </c>
      <c r="AN20" s="1">
        <f>IF('Farm and Rotation Setup'!$D$25="Spring Lentils",'Farm and Rotation Setup'!$G$25,0)</f>
        <v>0</v>
      </c>
      <c r="AO20" s="1">
        <f>IF('Farm and Rotation Setup'!$D$26="Spring Lentils",'Farm and Rotation Setup'!$G$26,0)</f>
        <v>0</v>
      </c>
      <c r="AP20" s="322">
        <f>IF('Farm and Rotation Setup'!$D$27="Spring Lentils",'Farm and Rotation Setup'!$G$27,0)</f>
        <v>0</v>
      </c>
    </row>
    <row r="21" spans="1:42" ht="20">
      <c r="A21" s="4"/>
      <c r="B21" s="5" t="str">
        <f>'Prices_Yields&amp;SeedInputs'!B22</f>
        <v>Spring Canola</v>
      </c>
      <c r="C21" s="222">
        <v>1</v>
      </c>
      <c r="D21" s="222">
        <v>0.67</v>
      </c>
      <c r="E21" s="222">
        <v>0.67</v>
      </c>
      <c r="F21" s="222">
        <v>1</v>
      </c>
      <c r="G21" s="222">
        <v>1</v>
      </c>
      <c r="H21" s="222">
        <v>1</v>
      </c>
      <c r="I21" s="222">
        <v>1</v>
      </c>
      <c r="J21" s="222">
        <v>1</v>
      </c>
      <c r="K21" s="222"/>
      <c r="L21" s="222"/>
      <c r="M21" s="410" cm="1">
        <f t="array" ref="M21">(SpringCanola!F$8*C21)+(SUM(SpringCanola!F$9:F$14*D21))+(SUM(SpringCanola!F$21:F$61)*E21)+(SUM(SpringCanola!F$63:F$70)*J21)+(SpringCanola!J$116*F21)+(SpringCanola!J$117*G21)+(SpringCanola!J$118*H21)+(SpringCanola!F$135*I21)</f>
        <v>165.5508621564388</v>
      </c>
      <c r="N21" s="411">
        <f>((C$31*C$32)+C$30)+(SpringCanola!F$8*(1-C21))+(SUM(SpringCanola!F$9:F$14)*(1-D21))+(SUM(SpringCanola!F$21:F$61)*(1-E21))+((SUM(SpringCanola!F$63:F$70)*(1-J21))+(SpringCanola!J$116)*(1-F21))+(SpringCanola!J$117*(1-G21))+(SpringCanola!J$118*(1-H21))+(SpringCanola!F$135*(1-I21))</f>
        <v>91.963359999999994</v>
      </c>
      <c r="O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H$114*H21)+(SpringCanola!H$135*I21)</f>
        <v>217.33604190589466</v>
      </c>
      <c r="P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H$114*(1-H21))+(SpringCanola!H$135*(1-I21)))))</f>
        <v>91.963359999999994</v>
      </c>
      <c r="Q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I$114*H21)+(SpringCanola!I$135*I21)</f>
        <v>214.57034503372481</v>
      </c>
      <c r="R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I$114*(1-H21))+(SpringCanola!I$135*(1-I21))</f>
        <v>91.963359999999994</v>
      </c>
      <c r="S21">
        <v>331.26</v>
      </c>
      <c r="T21" s="40">
        <f t="shared" si="5"/>
        <v>257.51422215643879</v>
      </c>
      <c r="U21" s="40">
        <f t="shared" si="6"/>
        <v>73.7457778435612</v>
      </c>
      <c r="V21" s="40"/>
      <c r="W21" s="323" t="str">
        <f>'Prices_Yields&amp;SeedInputs'!B22</f>
        <v>Spring Canola</v>
      </c>
      <c r="X21" s="323"/>
      <c r="Y21" s="324">
        <f t="shared" si="2"/>
        <v>0</v>
      </c>
      <c r="Z21" s="1">
        <f t="shared" si="3"/>
        <v>0</v>
      </c>
      <c r="AA21" s="325">
        <f t="shared" si="4"/>
        <v>0</v>
      </c>
      <c r="AB21" s="1">
        <f>IF('Farm and Rotation Setup'!$D$5="Spring Canola",'Farm and Rotation Setup'!$G$5,0)</f>
        <v>0</v>
      </c>
      <c r="AC21" s="1">
        <f>IF('Farm and Rotation Setup'!$D$6="Spring Canola",'Farm and Rotation Setup'!$G$6,0)</f>
        <v>0</v>
      </c>
      <c r="AD21" s="1">
        <f>IF('Farm and Rotation Setup'!$D$7="Spring Canola",'Farm and Rotation Setup'!$G$7,0)</f>
        <v>0</v>
      </c>
      <c r="AE21" s="1">
        <f>IF('Farm and Rotation Setup'!$D$8="Spring Canola",'Farm and Rotation Setup'!$G$8,0)</f>
        <v>0</v>
      </c>
      <c r="AF21" s="322">
        <f>IF('Farm and Rotation Setup'!$D$9="Spring Canola",'Farm and Rotation Setup'!$G$9,0)</f>
        <v>0</v>
      </c>
      <c r="AG21" s="1">
        <f>IF('Farm and Rotation Setup'!$D$14="Spring Canola",'Farm and Rotation Setup'!$G$14,0)</f>
        <v>0</v>
      </c>
      <c r="AH21" s="1">
        <f>IF('Farm and Rotation Setup'!$D$15="Spring Canola",'Farm and Rotation Setup'!$G$15,0)</f>
        <v>0</v>
      </c>
      <c r="AI21" s="1">
        <f>IF('Farm and Rotation Setup'!$D$16="Spring Canola",'Farm and Rotation Setup'!$G$16,0)</f>
        <v>0</v>
      </c>
      <c r="AJ21" s="1">
        <f>IF('Farm and Rotation Setup'!$D$17="Spring Canola",'Farm and Rotation Setup'!$G$17,0)</f>
        <v>0</v>
      </c>
      <c r="AK21" s="322">
        <f>IF('Farm and Rotation Setup'!$D$18="Spring Canola",'Farm and Rotation Setup'!$G$18,0)</f>
        <v>0</v>
      </c>
      <c r="AL21" s="1">
        <f>IF('Farm and Rotation Setup'!$D$23="Spring Canola",'Farm and Rotation Setup'!$G$23,0)</f>
        <v>0</v>
      </c>
      <c r="AM21" s="1">
        <f>IF('Farm and Rotation Setup'!$D$24="Spring Canola",'Farm and Rotation Setup'!$G$24,0)</f>
        <v>0</v>
      </c>
      <c r="AN21" s="1">
        <f>IF('Farm and Rotation Setup'!$D$25="Spring Canola",'Farm and Rotation Setup'!$G$25,0)</f>
        <v>0</v>
      </c>
      <c r="AO21" s="1">
        <f>IF('Farm and Rotation Setup'!$D$26="Spring Canola",'Farm and Rotation Setup'!$G$26,0)</f>
        <v>0</v>
      </c>
      <c r="AP21" s="322">
        <f>IF('Farm and Rotation Setup'!$D$27="Spring Canola",'Farm and Rotation Setup'!$G$27,0)</f>
        <v>0</v>
      </c>
    </row>
    <row r="22" spans="1:42" ht="20">
      <c r="A22" s="4"/>
      <c r="B22" s="5" t="str">
        <f>'Prices_Yields&amp;SeedInputs'!B21</f>
        <v>Roundup Ready Spring Canola</v>
      </c>
      <c r="C22" s="222">
        <v>1</v>
      </c>
      <c r="D22" s="222">
        <v>0.67</v>
      </c>
      <c r="E22" s="222">
        <v>0.67</v>
      </c>
      <c r="F22" s="222">
        <v>1</v>
      </c>
      <c r="G22" s="222">
        <v>1</v>
      </c>
      <c r="H22" s="222">
        <v>1</v>
      </c>
      <c r="I22" s="222">
        <v>1</v>
      </c>
      <c r="J22" s="222">
        <v>1</v>
      </c>
      <c r="K22" s="222"/>
      <c r="L22" s="222"/>
      <c r="M22" s="410" cm="1">
        <f t="array" ref="M22">('SpringCanola_R-Ready'!F$8*C22)+(SUM('SpringCanola_R-Ready'!F$9:F$14*D22))+(SUM('SpringCanola_R-Ready'!F$21:F$61)*E22)+(SUM('SpringCanola_R-Ready'!F$63:F$70)*J22)+('SpringCanola_R-Ready'!J$116*F22)+('SpringCanola_R-Ready'!J$117*G22)+('SpringCanola_R-Ready'!J$118*H22)+('SpringCanola_R-Ready'!F$135*I22)</f>
        <v>212.3335462966615</v>
      </c>
      <c r="N22" s="411">
        <f>((C$31*C$32)+C$30)+('SpringCanola_R-Ready'!F$8*(1-C22))+(SUM('SpringCanola_R-Ready'!F$9:F$14)*(1-D22))+(SUM('SpringCanola_R-Ready'!F$21:F$61)*(1-E22))+((SUM('SpringCanola_R-Ready'!F$63:F$70)*(1-J22))+('SpringCanola_R-Ready'!J$116)*(1-F22))+('SpringCanola_R-Ready'!J$117*(1-G22))+('SpringCanola_R-Ready'!J$118*(1-H22))+('SpringCanola_R-Ready'!F$135*(1-I22))</f>
        <v>91.963359999999994</v>
      </c>
      <c r="O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H$114*H22)+('SpringCanola_R-Ready'!H$135*I22)</f>
        <v>266.39903694427619</v>
      </c>
      <c r="P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H$114*(1-H22))+('SpringCanola_R-Ready'!H$135*(1-I22)))))</f>
        <v>91.963359999999994</v>
      </c>
      <c r="Q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I$114*H22)+('SpringCanola_R-Ready'!I$135*I22)</f>
        <v>263.58174399925491</v>
      </c>
      <c r="R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I$114*(1-H22))+('SpringCanola_R-Ready'!I$135*(1-I22))</f>
        <v>91.963359999999994</v>
      </c>
      <c r="S22">
        <v>332.26</v>
      </c>
      <c r="T22" s="40">
        <f t="shared" ref="T22:T23" si="13">M22+N22</f>
        <v>304.29690629666152</v>
      </c>
      <c r="U22" s="40">
        <f t="shared" ref="U22:U23" si="14">S22-T22</f>
        <v>27.963093703338473</v>
      </c>
      <c r="V22" s="40"/>
      <c r="W22" s="323" t="str">
        <f>'Prices_Yields&amp;SeedInputs'!B21</f>
        <v>Roundup Ready Spring Canola</v>
      </c>
      <c r="X22" s="323"/>
      <c r="Y22" s="324">
        <f t="shared" si="2"/>
        <v>0</v>
      </c>
      <c r="Z22" s="1">
        <f t="shared" si="3"/>
        <v>0</v>
      </c>
      <c r="AA22" s="325">
        <f t="shared" si="4"/>
        <v>0</v>
      </c>
      <c r="AB22" s="1">
        <f>IF('Farm and Rotation Setup'!$D$5="Roundup Ready Spring Canola",'Farm and Rotation Setup'!$G$5,0)</f>
        <v>0</v>
      </c>
      <c r="AC22" s="1">
        <f>IF('Farm and Rotation Setup'!$D$6="Roundup Ready Spring Canola",'Farm and Rotation Setup'!$G$6,0)</f>
        <v>0</v>
      </c>
      <c r="AD22" s="1">
        <f>IF('Farm and Rotation Setup'!$D$7="Roundup Ready Spring Canola",'Farm and Rotation Setup'!$G$7,0)</f>
        <v>0</v>
      </c>
      <c r="AE22" s="1">
        <f>IF('Farm and Rotation Setup'!$D$8="Roundup Ready Spring Canola",'Farm and Rotation Setup'!$G$8,0)</f>
        <v>0</v>
      </c>
      <c r="AF22" s="322">
        <f>IF('Farm and Rotation Setup'!$D$9="Roundup Ready Spring Canola",'Farm and Rotation Setup'!$G$9,0)</f>
        <v>0</v>
      </c>
      <c r="AG22" s="1">
        <f>IF('Farm and Rotation Setup'!$D$14="Roundup Ready Spring Canola",'Farm and Rotation Setup'!$G$14,0)</f>
        <v>0</v>
      </c>
      <c r="AH22" s="1">
        <f>IF('Farm and Rotation Setup'!$D$15="Roundup Ready Spring Canola",'Farm and Rotation Setup'!$G$15,0)</f>
        <v>0</v>
      </c>
      <c r="AI22" s="1">
        <f>IF('Farm and Rotation Setup'!$D$16="Roundup Ready Spring Canola",'Farm and Rotation Setup'!$G$16,0)</f>
        <v>0</v>
      </c>
      <c r="AJ22" s="1">
        <f>IF('Farm and Rotation Setup'!$D$17="Roundup Ready Spring Canola",'Farm and Rotation Setup'!$G$17,0)</f>
        <v>0</v>
      </c>
      <c r="AK22" s="322">
        <f>IF('Farm and Rotation Setup'!$D$18="Roundup Ready Spring Canola",'Farm and Rotation Setup'!$G$18,0)</f>
        <v>0</v>
      </c>
      <c r="AL22" s="1">
        <f>IF('Farm and Rotation Setup'!$D$23="Roundup Ready Spring Canola",'Farm and Rotation Setup'!$G$23,0)</f>
        <v>0</v>
      </c>
      <c r="AM22" s="1">
        <f>IF('Farm and Rotation Setup'!$D$24="Roundup Ready Spring Canola",'Farm and Rotation Setup'!$G$24,0)</f>
        <v>0</v>
      </c>
      <c r="AN22" s="1">
        <f>IF('Farm and Rotation Setup'!$D$25="Roundup Ready Spring Canola",'Farm and Rotation Setup'!$G$25,0)</f>
        <v>0</v>
      </c>
      <c r="AO22" s="1">
        <f>IF('Farm and Rotation Setup'!$D$26="Roundup Ready Spring Canola",'Farm and Rotation Setup'!$G$26,0)</f>
        <v>0</v>
      </c>
      <c r="AP22" s="322">
        <f>IF('Farm and Rotation Setup'!$D$27="Roundup Ready Spring Canola",'Farm and Rotation Setup'!$G$27,0)</f>
        <v>0</v>
      </c>
    </row>
    <row r="23" spans="1:42" ht="20">
      <c r="A23" s="4"/>
      <c r="B23" s="5" t="str">
        <f>'Prices_Yields&amp;SeedInputs'!B27</f>
        <v>Winter Canola</v>
      </c>
      <c r="C23" s="222">
        <v>1</v>
      </c>
      <c r="D23" s="222">
        <v>0.67</v>
      </c>
      <c r="E23" s="222">
        <v>0.67</v>
      </c>
      <c r="F23" s="222">
        <v>1</v>
      </c>
      <c r="G23" s="222">
        <v>1</v>
      </c>
      <c r="H23" s="222">
        <v>1</v>
      </c>
      <c r="I23" s="222">
        <v>1</v>
      </c>
      <c r="J23" s="222">
        <v>1</v>
      </c>
      <c r="K23" s="222"/>
      <c r="L23" s="222"/>
      <c r="M23" s="410" cm="1">
        <f t="array" ref="M23">(WinterCanola!F$8*C23)+(SUM(WinterCanola!F$9:F$14*D23))+(SUM(WinterCanola!F$21:F$61)*E23)+(SUM(WinterCanola!F$63:F$70)*J23)+(WinterCanola!J$116*F23)+(WinterCanola!J$117*G23)+(WinterCanola!J$118*H23)+(WinterCanola!F$135*I23)</f>
        <v>225.03354629666148</v>
      </c>
      <c r="N23" s="411">
        <f>((C$31*C$32)+C$30)+(WinterCanola!F$8*(1-C23))+(SUM(WinterCanola!F$9:F$14)*(1-D23))+(SUM(WinterCanola!F$21:F$61)*(1-E23))+((SUM(WinterCanola!F$63:F$70)*(1-J23))+(WinterCanola!J$116)*(1-F23))+(WinterCanola!J$117*(1-G23))+(WinterCanola!J$118*(1-H23))+(WinterCanola!F$135*(1-I23))</f>
        <v>91.963359999999994</v>
      </c>
      <c r="O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H$114*H23)+(WinterCanola!H$135*I23)</f>
        <v>279.09903694427618</v>
      </c>
      <c r="P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H$114*(1-H23))+(WinterCanola!H$135*(1-I23)))))</f>
        <v>91.963359999999994</v>
      </c>
      <c r="Q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I$114*H23)+(WinterCanola!I$135*I23)</f>
        <v>276.2817439992549</v>
      </c>
      <c r="R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I$114*(1-H23))+(WinterCanola!I$135*(1-I23))</f>
        <v>91.963359999999994</v>
      </c>
      <c r="S23">
        <v>333.26</v>
      </c>
      <c r="T23" s="40">
        <f t="shared" si="13"/>
        <v>316.99690629666145</v>
      </c>
      <c r="U23" s="40">
        <f t="shared" si="14"/>
        <v>16.263093703338541</v>
      </c>
      <c r="V23" s="40"/>
      <c r="W23" s="323" t="str">
        <f>'Prices_Yields&amp;SeedInputs'!B27</f>
        <v>Winter Canola</v>
      </c>
      <c r="X23" s="323"/>
      <c r="Y23" s="324">
        <f t="shared" si="2"/>
        <v>1000</v>
      </c>
      <c r="Z23" s="1">
        <f t="shared" si="3"/>
        <v>0</v>
      </c>
      <c r="AA23" s="325">
        <f t="shared" si="4"/>
        <v>0</v>
      </c>
      <c r="AB23" s="1">
        <f>IF('Farm and Rotation Setup'!$D$5="Winter Canola",'Farm and Rotation Setup'!$G$5,0)</f>
        <v>0</v>
      </c>
      <c r="AC23" s="1">
        <f>IF('Farm and Rotation Setup'!$D$6="Winter Canola",'Farm and Rotation Setup'!$G$6,0)</f>
        <v>1000</v>
      </c>
      <c r="AD23" s="1">
        <f>IF('Farm and Rotation Setup'!$D$7="Winter Canola",'Farm and Rotation Setup'!$G$7,0)</f>
        <v>0</v>
      </c>
      <c r="AE23" s="1">
        <f>IF('Farm and Rotation Setup'!$D$8="Winter Canola",'Farm and Rotation Setup'!$G$8,0)</f>
        <v>0</v>
      </c>
      <c r="AF23" s="322">
        <f>IF('Farm and Rotation Setup'!$D$9="Winter Canola",'Farm and Rotation Setup'!$G$9,0)</f>
        <v>0</v>
      </c>
      <c r="AG23" s="1">
        <f>IF('Farm and Rotation Setup'!$D$14="Winter Canola",'Farm and Rotation Setup'!$G$14,0)</f>
        <v>0</v>
      </c>
      <c r="AH23" s="1">
        <f>IF('Farm and Rotation Setup'!$D$15="Winter Canola",'Farm and Rotation Setup'!$G$15,0)</f>
        <v>0</v>
      </c>
      <c r="AI23" s="1">
        <f>IF('Farm and Rotation Setup'!$D$16="Winter Canola",'Farm and Rotation Setup'!$G$16,0)</f>
        <v>0</v>
      </c>
      <c r="AJ23" s="1">
        <f>IF('Farm and Rotation Setup'!$D$17="Winter Canola",'Farm and Rotation Setup'!$G$17,0)</f>
        <v>0</v>
      </c>
      <c r="AK23" s="322">
        <f>IF('Farm and Rotation Setup'!$D$18="Winter Canola",'Farm and Rotation Setup'!$G$18,0)</f>
        <v>0</v>
      </c>
      <c r="AL23" s="1">
        <f>IF('Farm and Rotation Setup'!$D$23="Winter Canola",'Farm and Rotation Setup'!$G$23,0)</f>
        <v>0</v>
      </c>
      <c r="AM23" s="1">
        <f>IF('Farm and Rotation Setup'!$D$24="Winter Canola",'Farm and Rotation Setup'!$G$24,0)</f>
        <v>0</v>
      </c>
      <c r="AN23" s="1">
        <f>IF('Farm and Rotation Setup'!$D$25="Winter Canola",'Farm and Rotation Setup'!$G$25,0)</f>
        <v>0</v>
      </c>
      <c r="AO23" s="1">
        <f>IF('Farm and Rotation Setup'!$D$26="Winter Canola",'Farm and Rotation Setup'!$G$26,0)</f>
        <v>0</v>
      </c>
      <c r="AP23" s="322">
        <f>IF('Farm and Rotation Setup'!$D$27="Winter Canola",'Farm and Rotation Setup'!$G$27,0)</f>
        <v>0</v>
      </c>
    </row>
    <row r="24" spans="1:42" s="173" customFormat="1" ht="20">
      <c r="A24" s="4"/>
      <c r="B24" s="5" t="str">
        <f>'Prices_Yields&amp;SeedInputs'!B8</f>
        <v>DN Spring Wheat after Forage Crop</v>
      </c>
      <c r="C24" s="222">
        <v>1</v>
      </c>
      <c r="D24" s="222">
        <v>0.67</v>
      </c>
      <c r="E24" s="222">
        <v>0.67</v>
      </c>
      <c r="F24" s="222">
        <v>1</v>
      </c>
      <c r="G24" s="222">
        <v>1</v>
      </c>
      <c r="H24" s="222">
        <v>1</v>
      </c>
      <c r="I24" s="222">
        <v>1</v>
      </c>
      <c r="J24" s="222">
        <v>1</v>
      </c>
      <c r="K24" s="222"/>
      <c r="L24" s="222"/>
      <c r="M24" s="410" cm="1">
        <f t="array" ref="M24">(DNSpringWheatAfterForageCrop!F$8*C24)+(SUM(DNSpringWheatAfterForageCrop!F$9:F$14*D24))+(SUM(DNSpringWheatAfterForageCrop!F$21:F$61)*E24)+(SUM(DNSpringWheatAfterForageCrop!F$63:F$70)*J24)+(DNSpringWheatAfterForageCrop!J$116*F24)+(DNSpringWheatAfterForageCrop!J$117*G24)+(DNSpringWheatAfterForageCrop!J$118*H24)+(DNSpringWheatAfterForageCrop!F$135*I24)</f>
        <v>134.85490629666148</v>
      </c>
      <c r="N24" s="411">
        <f>((C$31*C$32)+C$30)+(DNSpringWheatAfterForageCrop!F$8*(1-C24))+(SUM(DNSpringWheatAfterForageCrop!F$9:F$14)*(1-D24))+(SUM(DNSpringWheatAfterForageCrop!F$21:F$61)*(1-E24))+((SUM(DNSpringWheatAfterForageCrop!F$63:F$70)*(1-J24))+(DNSpringWheatAfterForageCrop!J$116)*(1-F24))+(DNSpringWheatAfterForageCrop!J$117*(1-G24))+(DNSpringWheatAfterForageCrop!J$118*(1-H24))+(DNSpringWheatAfterForageCrop!F$135*(1-I24))</f>
        <v>65.5</v>
      </c>
      <c r="O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H$114*H24)+(DNSpringWheatAfterForageCrop!H$135*I24)</f>
        <v>188.92039694427615</v>
      </c>
      <c r="P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H$114*(1-H24))+(DNSpringWheatAfterForageCrop!H$135*(1-I24)))))</f>
        <v>65.5</v>
      </c>
      <c r="Q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I$114*H24)+(DNSpringWheatAfterForageCrop!I$135*I24)</f>
        <v>186.10310399925493</v>
      </c>
      <c r="R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I$114*(1-H24))+(DNSpringWheatAfterForageCrop!I$135*(1-I24))</f>
        <v>65.5</v>
      </c>
      <c r="S24">
        <v>332.26</v>
      </c>
      <c r="T24" s="40">
        <f t="shared" si="5"/>
        <v>200.35490629666148</v>
      </c>
      <c r="U24" s="40">
        <f t="shared" si="6"/>
        <v>131.90509370333851</v>
      </c>
      <c r="V24" s="40"/>
      <c r="W24" s="323" t="str">
        <f>'Prices_Yields&amp;SeedInputs'!B8</f>
        <v>DN Spring Wheat after Forage Crop</v>
      </c>
      <c r="X24" s="323"/>
      <c r="Y24" s="324">
        <f t="shared" si="2"/>
        <v>0</v>
      </c>
      <c r="Z24" s="1">
        <f t="shared" si="3"/>
        <v>0</v>
      </c>
      <c r="AA24" s="325">
        <f t="shared" si="4"/>
        <v>0</v>
      </c>
      <c r="AB24" s="1">
        <f>IF('Farm and Rotation Setup'!$D$5="Winter Chickpea",'Farm and Rotation Setup'!$G$5,0)</f>
        <v>0</v>
      </c>
      <c r="AC24" s="1">
        <f>IF('Farm and Rotation Setup'!$D$6="Winter Chickpea",'Farm and Rotation Setup'!$G$6,0)</f>
        <v>0</v>
      </c>
      <c r="AD24" s="1">
        <f>IF('Farm and Rotation Setup'!$D$7="Winter Chickpea",'Farm and Rotation Setup'!$G$7,0)</f>
        <v>0</v>
      </c>
      <c r="AE24" s="1">
        <f>IF('Farm and Rotation Setup'!$D$8="Winter Chickpea",'Farm and Rotation Setup'!$G$8,0)</f>
        <v>0</v>
      </c>
      <c r="AF24" s="322">
        <f>IF('Farm and Rotation Setup'!$D$9="Winter Chickpea",'Farm and Rotation Setup'!$G$9,0)</f>
        <v>0</v>
      </c>
      <c r="AG24" s="1">
        <f>IF('Farm and Rotation Setup'!$D$14="Winter Chickpea",'Farm and Rotation Setup'!$G$14,0)</f>
        <v>0</v>
      </c>
      <c r="AH24" s="1">
        <f>IF('Farm and Rotation Setup'!$D$15="Winter Chickpea",'Farm and Rotation Setup'!$G$15,0)</f>
        <v>0</v>
      </c>
      <c r="AI24" s="1">
        <f>IF('Farm and Rotation Setup'!$D$16="Winter Chickpea",'Farm and Rotation Setup'!$G$16,0)</f>
        <v>0</v>
      </c>
      <c r="AJ24" s="1">
        <f>IF('Farm and Rotation Setup'!$D$17="Winter Chickpea",'Farm and Rotation Setup'!$G$17,0)</f>
        <v>0</v>
      </c>
      <c r="AK24" s="322">
        <f>IF('Farm and Rotation Setup'!$D$18="Winter Chickpea",'Farm and Rotation Setup'!$G$18,0)</f>
        <v>0</v>
      </c>
      <c r="AL24" s="1">
        <f>IF('Farm and Rotation Setup'!$D$23="Winter Chickpea",'Farm and Rotation Setup'!$G$23,0)</f>
        <v>0</v>
      </c>
      <c r="AM24" s="1">
        <f>IF('Farm and Rotation Setup'!$D$24="Winter Chickpea",'Farm and Rotation Setup'!$G$24,0)</f>
        <v>0</v>
      </c>
      <c r="AN24" s="1">
        <f>IF('Farm and Rotation Setup'!$D$25="Winter Chickpea",'Farm and Rotation Setup'!$G$25,0)</f>
        <v>0</v>
      </c>
      <c r="AO24" s="1">
        <f>IF('Farm and Rotation Setup'!$D$26="Winter Chickpea",'Farm and Rotation Setup'!$G$26,0)</f>
        <v>0</v>
      </c>
      <c r="AP24" s="322">
        <f>IF('Farm and Rotation Setup'!$D$27="Winter Chickpea",'Farm and Rotation Setup'!$G$27,0)</f>
        <v>0</v>
      </c>
    </row>
    <row r="25" spans="1:42" ht="20">
      <c r="A25" s="4"/>
      <c r="B25" s="5" t="str">
        <f>'Prices_Yields&amp;SeedInputs'!B28</f>
        <v>Forage Crop-Soil Builder Blend</v>
      </c>
      <c r="C25" s="222">
        <v>1</v>
      </c>
      <c r="D25" s="222">
        <v>0.67</v>
      </c>
      <c r="E25" s="222">
        <v>0.67</v>
      </c>
      <c r="F25" s="222">
        <v>1</v>
      </c>
      <c r="G25" s="222">
        <v>1</v>
      </c>
      <c r="H25" s="222">
        <v>1</v>
      </c>
      <c r="I25" s="222">
        <v>1</v>
      </c>
      <c r="J25" s="222">
        <v>1</v>
      </c>
      <c r="K25" s="222"/>
      <c r="L25" s="222"/>
      <c r="M25" s="410" cm="1">
        <f t="array" ref="M25">(ForageCrop!F$8*C25)+(SUM(ForageCrop!F$9:F$14*D25))+(SUM(ForageCrop!F$21:F$61)*E25)+(SUM(ForageCrop!F$63:F$70)*J25)+(ForageCrop!J$116*F25)+(ForageCrop!J$117*G25)+(ForageCrop!J$118*H25)+(ForageCrop!F$135*I25)</f>
        <v>58.573775995589116</v>
      </c>
      <c r="N25" s="411">
        <f>((C$31*C$32)+C$30)+(ForageCrop!F$8*(1-C25))+(SUM(ForageCrop!F$9:F$14)*(1-D25))+(SUM(ForageCrop!F$21:F$61)*(1-E25))+((SUM(ForageCrop!F$63:F$70)*(1-J25))+(ForageCrop!J$116)*(1-F25))+(ForageCrop!J$117*(1-G25))+(ForageCrop!J$118*(1-H25))+(ForageCrop!F$135*(1-I25))</f>
        <v>69.325360000000003</v>
      </c>
      <c r="O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H$114*H25)+(ForageCrop!H$135*I25)</f>
        <v>71.749802799953002</v>
      </c>
      <c r="P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H$114*(1-H25))+(ForageCrop!H$135*(1-I25)))))</f>
        <v>69.325360000000003</v>
      </c>
      <c r="Q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I$114*H25)+(ForageCrop!I$135*I25)</f>
        <v>71.685739586852733</v>
      </c>
      <c r="R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I$114*(1-H25))+(ForageCrop!I$135*(1-I25))</f>
        <v>69.325360000000003</v>
      </c>
      <c r="S25">
        <v>333.26</v>
      </c>
      <c r="T25" s="40">
        <f t="shared" si="5"/>
        <v>127.89913599558912</v>
      </c>
      <c r="U25" s="40">
        <f t="shared" si="6"/>
        <v>205.36086400441087</v>
      </c>
      <c r="V25" s="40"/>
      <c r="W25" s="323" t="str">
        <f>'Prices_Yields&amp;SeedInputs'!B28</f>
        <v>Forage Crop-Soil Builder Blend</v>
      </c>
      <c r="X25" s="323"/>
      <c r="Y25" s="324">
        <f t="shared" si="2"/>
        <v>0</v>
      </c>
      <c r="Z25" s="1">
        <f t="shared" si="3"/>
        <v>0</v>
      </c>
      <c r="AA25" s="325">
        <f t="shared" si="4"/>
        <v>0</v>
      </c>
      <c r="AB25" s="1">
        <f>IF('Farm and Rotation Setup'!$D$5="Cover Crop-Soil Builder Blend",'Farm and Rotation Setup'!$G$5,0)</f>
        <v>0</v>
      </c>
      <c r="AC25" s="1">
        <f>IF('Farm and Rotation Setup'!$D$6="Cover Crop-Soil Builder Blend",'Farm and Rotation Setup'!$G$6,0)</f>
        <v>0</v>
      </c>
      <c r="AD25" s="1">
        <f>IF('Farm and Rotation Setup'!$D$7="Cover Crop-Soil Builder Blend",'Farm and Rotation Setup'!$G$7,0)</f>
        <v>0</v>
      </c>
      <c r="AE25" s="1">
        <f>IF('Farm and Rotation Setup'!$D$8="Cover Crop-Soil Builder Blend",'Farm and Rotation Setup'!$G$8,0)</f>
        <v>0</v>
      </c>
      <c r="AF25" s="322">
        <f>IF('Farm and Rotation Setup'!$D$9="Cover Crop-Soil Builder Blend",'Farm and Rotation Setup'!$G$9,0)</f>
        <v>0</v>
      </c>
      <c r="AG25" s="1">
        <f>IF('Farm and Rotation Setup'!$D$14="Cover Crop-Soil Builder Blend",'Farm and Rotation Setup'!$G$14,0)</f>
        <v>0</v>
      </c>
      <c r="AH25" s="1">
        <f>IF('Farm and Rotation Setup'!$D$15="Cover Crop-Soil Builder Blend",'Farm and Rotation Setup'!$G$15,0)</f>
        <v>0</v>
      </c>
      <c r="AI25" s="1">
        <f>IF('Farm and Rotation Setup'!$D$16="Cover Crop-Soil Builder Blend",'Farm and Rotation Setup'!$G$16,0)</f>
        <v>0</v>
      </c>
      <c r="AJ25" s="1">
        <f>IF('Farm and Rotation Setup'!$D$17="Cover Crop-Soil Builder Blend",'Farm and Rotation Setup'!$G$17,0)</f>
        <v>0</v>
      </c>
      <c r="AK25" s="322">
        <f>IF('Farm and Rotation Setup'!$D$18="Cover Crop-Soil Builder Blend",'Farm and Rotation Setup'!$G$18,0)</f>
        <v>0</v>
      </c>
      <c r="AL25" s="1">
        <f>IF('Farm and Rotation Setup'!$D$23="Cover Crop-Soil Builder Blend",'Farm and Rotation Setup'!$G$23,0)</f>
        <v>0</v>
      </c>
      <c r="AM25" s="1">
        <f>IF('Farm and Rotation Setup'!$D$24="Cover Crop-Soil Builder Blend",'Farm and Rotation Setup'!$G$24,0)</f>
        <v>0</v>
      </c>
      <c r="AN25" s="1">
        <f>IF('Farm and Rotation Setup'!$D$25="Cover Crop-Soil Builder Blend",'Farm and Rotation Setup'!$G$25,0)</f>
        <v>0</v>
      </c>
      <c r="AO25" s="1">
        <f>IF('Farm and Rotation Setup'!$D$26="Cover Crop-Soil Builder Blend",'Farm and Rotation Setup'!$G$26,0)</f>
        <v>0</v>
      </c>
      <c r="AP25" s="322">
        <f>IF('Farm and Rotation Setup'!$D$27="Cover Crop-Soil Builder Blend",'Farm and Rotation Setup'!$G$27,0)</f>
        <v>0</v>
      </c>
    </row>
    <row r="26" spans="1:42" ht="20">
      <c r="A26" s="4"/>
      <c r="B26" s="5" t="str">
        <f>'Prices_Yields&amp;SeedInputs'!B13</f>
        <v>Forage Crop-St. John Area</v>
      </c>
      <c r="C26" s="222">
        <v>1</v>
      </c>
      <c r="D26" s="222">
        <v>0.67</v>
      </c>
      <c r="E26" s="222">
        <v>0.67</v>
      </c>
      <c r="F26" s="222">
        <v>1</v>
      </c>
      <c r="G26" s="222">
        <v>1</v>
      </c>
      <c r="H26" s="222">
        <v>1</v>
      </c>
      <c r="I26" s="222">
        <v>1</v>
      </c>
      <c r="J26" s="222">
        <v>1</v>
      </c>
      <c r="K26" s="222"/>
      <c r="L26" s="222"/>
      <c r="M26" s="410" cm="1">
        <f t="array" ref="M26">('ForageCrop-StJohn'!F$8*C26)+(SUM('ForageCrop-StJohn'!F$9:F$14*D26))+(SUM('ForageCrop-StJohn'!F$21:F$61)*E26)+(SUM('ForageCrop-StJohn'!F$63:F$70)*J26)+('ForageCrop-StJohn'!J$116*F26)+('ForageCrop-StJohn'!J$117*G26)+('ForageCrop-StJohn'!J$118*H26)+('ForageCrop-StJohn'!F$135*I26)</f>
        <v>61.662655712324884</v>
      </c>
      <c r="N26" s="411">
        <f>((C$31*C$32)+C$30)+('ForageCrop-StJohn'!F$8*(1-C26))+(SUM('ForageCrop-StJohn'!F$9:F$14)*(1-D26))+(SUM('ForageCrop-StJohn'!F$21:F$61)*(1-E26))+((SUM('ForageCrop-StJohn'!F$63:F$70)*(1-J26))+('ForageCrop-StJohn'!J$116)*(1-F26))+('ForageCrop-StJohn'!J$117*(1-G26))+('ForageCrop-StJohn'!J$118*(1-H26))+('ForageCrop-StJohn'!F$135*(1-I26))</f>
        <v>69.279820000000001</v>
      </c>
      <c r="O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H$114*H26)+('ForageCrop-StJohn'!H$135*I26)</f>
        <v>71.760022004069697</v>
      </c>
      <c r="P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H$114*(1-H26))+('ForageCrop-StJohn'!H$135*(1-I26)))))</f>
        <v>69.279820000000001</v>
      </c>
      <c r="Q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I$114*H26)+('ForageCrop-StJohn'!I$135*I26)</f>
        <v>71.708425931218329</v>
      </c>
      <c r="R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I$114*(1-H26))+('ForageCrop-StJohn'!I$135*(1-I26))</f>
        <v>69.279820000000001</v>
      </c>
      <c r="S26">
        <v>334.26</v>
      </c>
      <c r="T26" s="40">
        <f t="shared" si="5"/>
        <v>130.94247571232489</v>
      </c>
      <c r="U26" s="40">
        <f t="shared" si="6"/>
        <v>203.3175242876751</v>
      </c>
      <c r="V26" s="40"/>
      <c r="W26" s="323" t="str">
        <f>'Prices_Yields&amp;SeedInputs'!B13</f>
        <v>Forage Crop-St. John Area</v>
      </c>
      <c r="X26" s="323"/>
      <c r="Y26" s="324">
        <f t="shared" si="2"/>
        <v>0</v>
      </c>
      <c r="Z26" s="1">
        <f t="shared" si="3"/>
        <v>0</v>
      </c>
      <c r="AA26" s="325">
        <f t="shared" si="4"/>
        <v>0</v>
      </c>
      <c r="AB26" s="1">
        <f>IF('Farm and Rotation Setup'!$D$5="Cover Crop-St. John Area",'Farm and Rotation Setup'!$G$5,0)</f>
        <v>0</v>
      </c>
      <c r="AC26" s="1">
        <f>IF('Farm and Rotation Setup'!$D$6="Cover Crop-St. John Area",'Farm and Rotation Setup'!$G$6,0)</f>
        <v>0</v>
      </c>
      <c r="AD26" s="1">
        <f>IF('Farm and Rotation Setup'!$D$7="Cover Crop-St. John Area",'Farm and Rotation Setup'!$G$7,0)</f>
        <v>0</v>
      </c>
      <c r="AE26" s="1">
        <f>IF('Farm and Rotation Setup'!$D$8="Cover Crop-St. John Area",'Farm and Rotation Setup'!$G$8,0)</f>
        <v>0</v>
      </c>
      <c r="AF26" s="322">
        <f>IF('Farm and Rotation Setup'!$D$9="Cover Crop-St. John Area",'Farm and Rotation Setup'!$G$9,0)</f>
        <v>0</v>
      </c>
      <c r="AG26" s="1">
        <f>IF('Farm and Rotation Setup'!$D$14="Cover Crop-St. John Area",'Farm and Rotation Setup'!$G$14,0)</f>
        <v>0</v>
      </c>
      <c r="AH26" s="1">
        <f>IF('Farm and Rotation Setup'!$D$15="Cover Crop-St. John Area",'Farm and Rotation Setup'!$G$15,0)</f>
        <v>0</v>
      </c>
      <c r="AI26" s="1">
        <f>IF('Farm and Rotation Setup'!$D$16="Cover Crop-St. John Area",'Farm and Rotation Setup'!$G$16,0)</f>
        <v>0</v>
      </c>
      <c r="AJ26" s="1">
        <f>IF('Farm and Rotation Setup'!$D$17="Cover Crop-St. John Area",'Farm and Rotation Setup'!$G$17,0)</f>
        <v>0</v>
      </c>
      <c r="AK26" s="322">
        <f>IF('Farm and Rotation Setup'!$D$18="Cover Crop-St. John Area",'Farm and Rotation Setup'!$G$18,0)</f>
        <v>0</v>
      </c>
      <c r="AL26" s="1">
        <f>IF('Farm and Rotation Setup'!$D$23="Cover Crop-St. John Area",'Farm and Rotation Setup'!$G$23,0)</f>
        <v>0</v>
      </c>
      <c r="AM26" s="1">
        <f>IF('Farm and Rotation Setup'!$D$24="Cover Crop-St. John Area",'Farm and Rotation Setup'!$G$24,0)</f>
        <v>0</v>
      </c>
      <c r="AN26" s="1">
        <f>IF('Farm and Rotation Setup'!$D$25="Cover Crop-St. John Area",'Farm and Rotation Setup'!$G$25,0)</f>
        <v>0</v>
      </c>
      <c r="AO26" s="1">
        <f>IF('Farm and Rotation Setup'!$D$26="Cover Crop-St. John Area",'Farm and Rotation Setup'!$G$26,0)</f>
        <v>0</v>
      </c>
      <c r="AP26" s="322">
        <f>IF('Farm and Rotation Setup'!$D$27="Cover Crop-St. John Area",'Farm and Rotation Setup'!$G$27,0)</f>
        <v>0</v>
      </c>
    </row>
    <row r="27" spans="1:42" ht="21" thickBot="1">
      <c r="A27" s="4"/>
      <c r="B27" s="5" t="str">
        <f>'Prices_Yields&amp;SeedInputs'!B14</f>
        <v>Forage Crop-Genesee Area</v>
      </c>
      <c r="C27" s="224">
        <v>1</v>
      </c>
      <c r="D27" s="222">
        <v>0.67</v>
      </c>
      <c r="E27" s="222">
        <v>0.67</v>
      </c>
      <c r="F27" s="222">
        <v>1</v>
      </c>
      <c r="G27" s="224">
        <v>1</v>
      </c>
      <c r="H27" s="224">
        <v>1</v>
      </c>
      <c r="I27" s="224">
        <v>1</v>
      </c>
      <c r="J27" s="224">
        <v>1</v>
      </c>
      <c r="K27" s="224"/>
      <c r="L27" s="224"/>
      <c r="M27" s="412" cm="1">
        <f t="array" ref="M27">('ForageCrop-Genesee'!F$8*C27)+(SUM('ForageCrop-Genesee'!F$9:F$14*D27))+(SUM('ForageCrop-Genesee'!F$21:F$61)*E27)+(SUM('ForageCrop-Genesee'!F$63:F$70)*J27)+('ForageCrop-Genesee'!J$116*F27)+('ForageCrop-Genesee'!J$117*G27)+('ForageCrop-Genesee'!J$118*H27)+('ForageCrop-Genesee'!F$135*I27)</f>
        <v>59.996255712324889</v>
      </c>
      <c r="N27" s="413">
        <f>((C$31*C$32)+C$30)+('ForageCrop-Genesee'!F$8*(1-C27))+(SUM('ForageCrop-Genesee'!F$9:F$14)*(1-D27))+(SUM('ForageCrop-Genesee'!F$21:F$61)*(1-E27))+((SUM('ForageCrop-Genesee'!F$63:F$70)*(1-J27))+('ForageCrop-Genesee'!J$116)*(1-F27))+('ForageCrop-Genesee'!J$117*(1-G27))+('ForageCrop-Genesee'!J$118*(1-H27))+('ForageCrop-Genesee'!F$135*(1-I27))</f>
        <v>69.279820000000001</v>
      </c>
      <c r="O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H$114*H27)+('ForageCrop-Genesee'!H$135*I27)</f>
        <v>70.093622004069701</v>
      </c>
      <c r="P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H$114*(1-H27))+('ForageCrop-Genesee'!H$135*(1-I27)))))</f>
        <v>69.279820000000001</v>
      </c>
      <c r="Q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I$114*H27)+('ForageCrop-Genesee'!I$135*I27)</f>
        <v>70.042025931218333</v>
      </c>
      <c r="R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I$114*(1-H27))+('ForageCrop-Genesee'!I$135*(1-I27))</f>
        <v>69.279820000000001</v>
      </c>
      <c r="S27">
        <v>335.26</v>
      </c>
      <c r="T27" s="40">
        <f t="shared" si="5"/>
        <v>129.27607571232488</v>
      </c>
      <c r="U27" s="40">
        <f t="shared" si="6"/>
        <v>205.98392428767511</v>
      </c>
      <c r="V27" s="40"/>
      <c r="W27" s="323" t="str">
        <f>'Prices_Yields&amp;SeedInputs'!B14</f>
        <v>Forage Crop-Genesee Area</v>
      </c>
      <c r="X27" s="323"/>
      <c r="Y27" s="326">
        <f t="shared" si="2"/>
        <v>0</v>
      </c>
      <c r="Z27" s="327">
        <f t="shared" si="3"/>
        <v>0</v>
      </c>
      <c r="AA27" s="328">
        <f t="shared" si="4"/>
        <v>0</v>
      </c>
      <c r="AB27" s="1">
        <f>IF('Farm and Rotation Setup'!$D$5="Cover Crop-Genesee Area",'Farm and Rotation Setup'!$G$5,0)</f>
        <v>0</v>
      </c>
      <c r="AC27" s="1">
        <f>IF('Farm and Rotation Setup'!$D$6="Cover Crop-Genesee Area",'Farm and Rotation Setup'!$G$6,0)</f>
        <v>0</v>
      </c>
      <c r="AD27" s="1">
        <f>IF('Farm and Rotation Setup'!$D$7="Cover Crop-Genesee Area",'Farm and Rotation Setup'!$G$7,0)</f>
        <v>0</v>
      </c>
      <c r="AE27" s="1">
        <f>IF('Farm and Rotation Setup'!$D$8="Cover Crop-Genesee Area",'Farm and Rotation Setup'!$G$8,0)</f>
        <v>0</v>
      </c>
      <c r="AF27" s="322">
        <f>IF('Farm and Rotation Setup'!$D$9="Cover Crop-Genesee Area",'Farm and Rotation Setup'!$G$9,0)</f>
        <v>0</v>
      </c>
      <c r="AG27" s="1">
        <f>IF('Farm and Rotation Setup'!$D$14="Cover Crop-Genesee Area",'Farm and Rotation Setup'!$G$14,0)</f>
        <v>0</v>
      </c>
      <c r="AH27" s="1">
        <f>IF('Farm and Rotation Setup'!$D$15="Cover Crop-Genesee Area",'Farm and Rotation Setup'!$G$15,0)</f>
        <v>0</v>
      </c>
      <c r="AI27" s="1">
        <f>IF('Farm and Rotation Setup'!$D$16="Cover Crop-Genesee Area",'Farm and Rotation Setup'!$G$16,0)</f>
        <v>0</v>
      </c>
      <c r="AJ27" s="1">
        <f>IF('Farm and Rotation Setup'!$D$17="Cover Crop-Genesee Area",'Farm and Rotation Setup'!$G$17,0)</f>
        <v>0</v>
      </c>
      <c r="AK27" s="322">
        <f>IF('Farm and Rotation Setup'!$D$18="Cover Crop-Genesee Area",'Farm and Rotation Setup'!$G$18,0)</f>
        <v>0</v>
      </c>
      <c r="AL27" s="1">
        <f>IF('Farm and Rotation Setup'!$D$23="Cover Crop-Genesee Area",'Farm and Rotation Setup'!$G$23,0)</f>
        <v>0</v>
      </c>
      <c r="AM27" s="1">
        <f>IF('Farm and Rotation Setup'!$D$24="Cover Crop-Genesee Area",'Farm and Rotation Setup'!$G$24,0)</f>
        <v>0</v>
      </c>
      <c r="AN27" s="1">
        <f>IF('Farm and Rotation Setup'!$D$25="Cover Crop-Genesee Area",'Farm and Rotation Setup'!$G$25,0)</f>
        <v>0</v>
      </c>
      <c r="AO27" s="1">
        <f>IF('Farm and Rotation Setup'!$D$26="Cover Crop-Genesee Area",'Farm and Rotation Setup'!$G$26,0)</f>
        <v>0</v>
      </c>
      <c r="AP27" s="322">
        <f>IF('Farm and Rotation Setup'!$D$27="Cover Crop-Genesee Area",'Farm and Rotation Setup'!$G$27,0)</f>
        <v>0</v>
      </c>
    </row>
    <row r="28" spans="1:42" ht="8" customHeight="1">
      <c r="A28" s="4"/>
      <c r="B28" s="5"/>
      <c r="C28" s="271"/>
      <c r="D28" s="271"/>
      <c r="E28" s="271"/>
      <c r="F28" s="271"/>
      <c r="G28" s="271"/>
      <c r="H28" s="271"/>
      <c r="I28" s="271"/>
      <c r="J28" s="271"/>
      <c r="K28" s="224"/>
      <c r="L28" s="224"/>
      <c r="M28" s="228" t="s">
        <v>8</v>
      </c>
      <c r="W28" s="313" t="s">
        <v>8</v>
      </c>
      <c r="X28" s="313"/>
    </row>
    <row r="29" spans="1:42" ht="20" customHeight="1">
      <c r="A29" s="4"/>
      <c r="B29" s="42" t="s">
        <v>177</v>
      </c>
      <c r="C29" s="272"/>
      <c r="D29" s="271"/>
      <c r="E29" s="271"/>
      <c r="F29" s="271"/>
      <c r="G29" s="271"/>
      <c r="H29" s="271"/>
      <c r="I29" s="271"/>
      <c r="J29" s="271"/>
      <c r="K29" s="224"/>
      <c r="L29" s="224"/>
      <c r="M29" s="230">
        <f>(M5*Y5)+(M6*Y6)+(M7*Y7)+(M8*Y8)+(M9*Y9)+(M10*Y10)+(M11*Y11)+(M12*Y12)+(M13*Y13)+(M14*Y14)+(M15*Y15)+(M16*Y16)+(M17*Y17)+(M18*Y18)+(M19*Y19)+(M20*Y20)+(M21*Y21)+(M22*Y22)+(M23*Y23)+(M24*Y24)+(M25*Y25)+(M26*Y26)+(M27*Y27)</f>
        <v>225033.54629666149</v>
      </c>
      <c r="N29" s="230">
        <f>(N5*Y5)+(N6*Y6)+(N7*Y7)+(N8*Y8)+(N9*Y9)+(N10*Y10)+(N11*Y11)+(N12*Y12)+(N13*Y13)+(N14*Y14)+(N15*Y15)+(N16*Y16)+(N17*Y17)+(N18*Y18)+(N19*Y19)+(N20*Y20)+(N21*Y21)+(N22*Y22)+(N23*Y23)+(N24*Y24)+(N25*Y25)+(N26*Y26)+(N27*Y27)</f>
        <v>91963.36</v>
      </c>
      <c r="O29" s="230">
        <f>(O5*Z5)+(O6*Z6)+(O7*Z7)+(O8*Z8)+(O9*Z9)+(O10*Z10)+(O11*Z11)+(O12*Z12)+(O13*Z13)+(O14*Z14)+(O15*Z15)+(O16*Z16)+(O17*Z17)+(O18*Z18)+(O19*Z19)+(O20*Z20)+(O21*Z21)+(O22*Z22)+(O23*Z23)+(O24*Z24)+(O25*Z25)+(O26*Z26)+(O27*Z27)</f>
        <v>60790.30672647366</v>
      </c>
      <c r="P29" s="230">
        <f>(P5*Z5)+(P6*Z6)+(P7*Z7)+(P8*Z8)+(P9*Z9)+(P10*Z10)+(P11*Z11)+(P12*Z12)+(P13*Z13)+(P14*Z14)+(P15*Z15)+(P16*Z16)+(P17*Z17)+(P18*Z18)+(P19*Z19)+(P20*Z20)+(P21*Z21)+(P22*Z22)+(P23*Z23)+(P24*Z24)+(P25*Z25)+(P26*Z26)+(P27*Z27)</f>
        <v>18985.918750000001</v>
      </c>
      <c r="Q29" s="230">
        <f>(Q5*AA5)+(Q6*AA6)+(Q7*AA7)+(Q8*AA8)+(Q9*AA9)+(Q10*AA10)+(Q11*AA11)+(Q12*AA12)+(Q13*AA13)+(Q14*AA14)+(Q15*AA15)+(Q16*AA16)+(Q17*AA17)+(Q18*AA18)+(Q19*AA19)+(Q20*AA20)+(Q21*AA21)+(Q22*AA22)+(Q23*AA23)+(Q24*AA24)+(Q25*AA25)+(Q26*AA26)+(Q27*AA27)</f>
        <v>0</v>
      </c>
      <c r="R29" s="230">
        <f>(R5*AA5)+(R6*AA6)+(R7*AA7)+(R8*AA8)+(R9*AA9)+(R10*AA10)+(R11*AA11)+(R12*AA12)+(R13*AA13)+(R14*AA14)+(R15*AA15)+(R16*AA16)+(R17*AA17)+(R18*AA18)+(R19*AA19)+(R20*AA20)+(R21*AA21)+(R22*AA22)+(R23*AA23)+(R24*AA24)+(R25*AA25)+(R26*AA26)+(R27*AA27)</f>
        <v>0</v>
      </c>
    </row>
    <row r="30" spans="1:42" ht="20">
      <c r="A30" s="3"/>
      <c r="B30" s="5" t="s">
        <v>171</v>
      </c>
      <c r="C30" s="225">
        <v>5.5</v>
      </c>
      <c r="D30" s="271"/>
      <c r="E30" s="271"/>
      <c r="F30" s="271"/>
      <c r="G30" s="271"/>
      <c r="H30" s="271"/>
      <c r="I30" s="271"/>
      <c r="J30" s="271"/>
      <c r="K30" s="224"/>
      <c r="L30" s="224"/>
      <c r="M30" s="314">
        <f>M29/(M29+N29)</f>
        <v>0.70989193215047941</v>
      </c>
      <c r="N30" s="314">
        <f>N29/(M29+N29)</f>
        <v>0.29010806784952065</v>
      </c>
      <c r="O30" s="314">
        <f>O29/(O29+P29)</f>
        <v>0.76201031527119534</v>
      </c>
      <c r="P30" s="314">
        <f>P29/(O29+P29)</f>
        <v>0.23798968472880466</v>
      </c>
      <c r="Q30" s="314" t="e">
        <f>Q29/(Q29+R29)</f>
        <v>#DIV/0!</v>
      </c>
      <c r="R30" s="314" t="e">
        <f>R29/(Q29+R29)</f>
        <v>#DIV/0!</v>
      </c>
    </row>
    <row r="31" spans="1:42" ht="20">
      <c r="A31" s="3"/>
      <c r="B31" s="5" t="s">
        <v>170</v>
      </c>
      <c r="C31" s="226">
        <v>2000</v>
      </c>
      <c r="D31" s="271"/>
      <c r="E31" s="271"/>
      <c r="F31" s="271"/>
      <c r="G31" s="271"/>
      <c r="H31" s="271"/>
      <c r="I31" s="271"/>
      <c r="J31" s="271"/>
      <c r="K31" s="224"/>
      <c r="L31" s="224"/>
      <c r="M31" s="224"/>
    </row>
    <row r="32" spans="1:42" ht="20">
      <c r="A32" s="224"/>
      <c r="B32" s="42" t="s">
        <v>174</v>
      </c>
      <c r="C32" s="227">
        <v>0.03</v>
      </c>
      <c r="D32" s="272"/>
      <c r="E32" s="272"/>
      <c r="F32" s="272"/>
      <c r="G32" s="272"/>
      <c r="H32" s="272"/>
      <c r="I32" s="272"/>
      <c r="J32" s="272"/>
      <c r="K32" s="224"/>
      <c r="L32" s="224"/>
      <c r="M32" s="224"/>
    </row>
    <row r="33" spans="1:13" ht="20">
      <c r="A33" s="224"/>
      <c r="B33" s="224"/>
      <c r="C33" s="224"/>
      <c r="D33" s="224"/>
      <c r="E33" s="224"/>
      <c r="F33" s="224"/>
      <c r="G33" s="224"/>
      <c r="H33" s="224"/>
      <c r="I33" s="224"/>
      <c r="J33" s="224"/>
      <c r="K33" s="224"/>
      <c r="L33" s="224"/>
      <c r="M33" s="224"/>
    </row>
  </sheetData>
  <mergeCells count="6">
    <mergeCell ref="B2:J2"/>
    <mergeCell ref="C3:J3"/>
    <mergeCell ref="O3:P3"/>
    <mergeCell ref="Q3:R3"/>
    <mergeCell ref="B3:B4"/>
    <mergeCell ref="M3:N3"/>
  </mergeCells>
  <phoneticPr fontId="61" type="noConversion"/>
  <pageMargins left="0.7" right="0.7" top="0.75" bottom="0.75" header="0.3" footer="0.3"/>
  <pageSetup scale="41" orientation="landscape" horizontalDpi="0" verticalDpi="0"/>
  <ignoredErrors>
    <ignoredError sqref="AB6:AP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A60-91D5-3F4D-BBFB-B9BE0870F0BA}">
  <sheetPr codeName="Sheet4"/>
  <dimension ref="A1:O26"/>
  <sheetViews>
    <sheetView zoomScale="150" zoomScaleNormal="150" workbookViewId="0">
      <selection activeCell="B2" sqref="B2:F2"/>
    </sheetView>
  </sheetViews>
  <sheetFormatPr baseColWidth="10" defaultColWidth="10.83203125" defaultRowHeight="15"/>
  <cols>
    <col min="1" max="1" width="2.1640625" style="3" customWidth="1"/>
    <col min="2" max="2" width="28.6640625" customWidth="1"/>
    <col min="3" max="3" width="9.5" customWidth="1"/>
    <col min="6" max="6" width="3.5" customWidth="1"/>
    <col min="11" max="11" width="10.83203125" customWidth="1"/>
  </cols>
  <sheetData>
    <row r="1" spans="2:15">
      <c r="B1" s="3"/>
      <c r="C1" s="3"/>
      <c r="D1" s="3"/>
      <c r="E1" s="3"/>
      <c r="F1" s="3"/>
      <c r="G1" s="3"/>
      <c r="H1" s="3"/>
      <c r="I1" s="3"/>
      <c r="J1" s="3"/>
      <c r="K1" s="3"/>
      <c r="L1" s="3"/>
      <c r="M1" s="3"/>
    </row>
    <row r="2" spans="2:15">
      <c r="B2" s="3"/>
      <c r="C2" s="3"/>
      <c r="D2" s="3"/>
      <c r="E2" s="3"/>
      <c r="F2" s="3"/>
      <c r="G2" s="3"/>
      <c r="H2" s="3"/>
      <c r="I2" s="3"/>
      <c r="J2" s="3"/>
      <c r="K2" s="3"/>
      <c r="L2" s="3"/>
      <c r="M2" s="3"/>
    </row>
    <row r="3" spans="2:15">
      <c r="B3" t="s">
        <v>52</v>
      </c>
      <c r="C3" s="50">
        <v>5000</v>
      </c>
      <c r="D3" s="50"/>
      <c r="G3" s="719" t="s">
        <v>59</v>
      </c>
      <c r="H3" s="719"/>
      <c r="I3" s="719"/>
      <c r="J3" s="719"/>
      <c r="K3" s="719"/>
      <c r="L3" s="719"/>
      <c r="M3" s="719"/>
    </row>
    <row r="4" spans="2:15">
      <c r="B4" t="s">
        <v>50</v>
      </c>
      <c r="C4" s="51">
        <v>5.0000000000000001E-3</v>
      </c>
      <c r="D4" s="51"/>
      <c r="G4" s="720" t="s">
        <v>26</v>
      </c>
      <c r="H4" s="725" t="s">
        <v>31</v>
      </c>
      <c r="I4" s="730" t="s">
        <v>43</v>
      </c>
      <c r="J4" s="725" t="s">
        <v>46</v>
      </c>
      <c r="K4" s="730" t="s">
        <v>47</v>
      </c>
      <c r="L4" s="725" t="s">
        <v>44</v>
      </c>
      <c r="M4" s="730" t="s">
        <v>45</v>
      </c>
    </row>
    <row r="5" spans="2:15">
      <c r="B5" t="s">
        <v>51</v>
      </c>
      <c r="C5" s="51">
        <v>0.03</v>
      </c>
      <c r="D5" s="51"/>
      <c r="G5" s="722"/>
      <c r="H5" s="727"/>
      <c r="I5" s="731"/>
      <c r="J5" s="727"/>
      <c r="K5" s="731"/>
      <c r="L5" s="727"/>
      <c r="M5" s="731"/>
    </row>
    <row r="6" spans="2:15">
      <c r="C6" s="46"/>
      <c r="D6" s="46"/>
      <c r="G6" s="53">
        <v>1</v>
      </c>
      <c r="H6" s="59">
        <f>LeasingInfo!M5+(C3*((1+C4)^1)*C5)</f>
        <v>355.94312079666145</v>
      </c>
      <c r="I6" s="60" t="e">
        <f>H6*(1+CustomRates!#REF!)^-1</f>
        <v>#REF!</v>
      </c>
      <c r="J6" s="59" t="e">
        <f>#REF!</f>
        <v>#REF!</v>
      </c>
      <c r="K6" s="60" t="e">
        <f>J6*(1+CustomRates!#REF!)^-1</f>
        <v>#REF!</v>
      </c>
      <c r="L6" s="59" t="e">
        <f>#REF!+(C3*((1+C4)^1)*C5)</f>
        <v>#REF!</v>
      </c>
      <c r="M6" s="60" t="e">
        <f>L6*(1+CustomRates!#REF!)^-1</f>
        <v>#REF!</v>
      </c>
    </row>
    <row r="7" spans="2:15">
      <c r="B7" s="720"/>
      <c r="C7" s="725" t="s">
        <v>53</v>
      </c>
      <c r="D7" s="728" t="s">
        <v>55</v>
      </c>
      <c r="E7" s="723" t="s">
        <v>54</v>
      </c>
      <c r="G7" s="54">
        <v>2</v>
      </c>
      <c r="H7" s="59" t="e">
        <f>#REF!+(C3*((1+C4)^2)*C5)</f>
        <v>#REF!</v>
      </c>
      <c r="I7" s="60" t="e">
        <f>H7*(1+CustomRates!#REF!)^-2</f>
        <v>#REF!</v>
      </c>
      <c r="J7" s="59" t="e">
        <f>#REF!</f>
        <v>#REF!</v>
      </c>
      <c r="K7" s="60" t="e">
        <f>J7*(1+CustomRates!#REF!)^-2</f>
        <v>#REF!</v>
      </c>
      <c r="L7" s="59" t="e">
        <f>#REF!+(C3*((1+C4)^2)*C5)</f>
        <v>#REF!</v>
      </c>
      <c r="M7" s="60" t="e">
        <f>L7*(1+CustomRates!#REF!)^-2</f>
        <v>#REF!</v>
      </c>
    </row>
    <row r="8" spans="2:15" ht="15" customHeight="1">
      <c r="B8" s="721"/>
      <c r="C8" s="726"/>
      <c r="D8" s="603"/>
      <c r="E8" s="604"/>
      <c r="G8" s="54">
        <v>3</v>
      </c>
      <c r="H8" s="59" t="e">
        <f>#REF!+(C3*((1+C4)^3)*C5)</f>
        <v>#REF!</v>
      </c>
      <c r="I8" s="60" t="e">
        <f>H8*(1+CustomRates!#REF!)^-3</f>
        <v>#REF!</v>
      </c>
      <c r="J8" s="59" t="e">
        <f>#REF!</f>
        <v>#REF!</v>
      </c>
      <c r="K8" s="60" t="e">
        <f>J8*(1+CustomRates!#REF!)^-3</f>
        <v>#REF!</v>
      </c>
      <c r="L8" s="59" t="e">
        <f>#REF!+(C3*((1+C4)^3)*C5)</f>
        <v>#REF!</v>
      </c>
      <c r="M8" s="60" t="e">
        <f>L8*(1+CustomRates!#REF!)^-3</f>
        <v>#REF!</v>
      </c>
    </row>
    <row r="9" spans="2:15">
      <c r="B9" s="722"/>
      <c r="C9" s="727"/>
      <c r="D9" s="729"/>
      <c r="E9" s="724"/>
      <c r="G9" s="54">
        <v>4</v>
      </c>
      <c r="H9" s="59" t="e">
        <f>#REF!+(C3*((1+C4)^4)*C5)</f>
        <v>#REF!</v>
      </c>
      <c r="I9" s="60" t="e">
        <f>H9*(1+CustomRates!#REF!)^-4</f>
        <v>#REF!</v>
      </c>
      <c r="J9" s="59" t="e">
        <f>#REF!</f>
        <v>#REF!</v>
      </c>
      <c r="K9" s="60" t="e">
        <f>J9*(1+CustomRates!#REF!)^-4</f>
        <v>#REF!</v>
      </c>
      <c r="L9" s="59" t="e">
        <f>#REF!+(C3*((1+C4)^4)*C5)</f>
        <v>#REF!</v>
      </c>
      <c r="M9" s="60" t="e">
        <f>L9*(1+CustomRates!#REF!)^-4</f>
        <v>#REF!</v>
      </c>
    </row>
    <row r="10" spans="2:15">
      <c r="B10" s="48" t="s">
        <v>48</v>
      </c>
      <c r="C10" s="47" t="e">
        <f>K11/I11</f>
        <v>#REF!</v>
      </c>
      <c r="D10" s="45" t="e">
        <f>(#REF!*3)*C10</f>
        <v>#REF!</v>
      </c>
      <c r="E10" s="49" t="e">
        <f>(#REF!*3)*C10</f>
        <v>#REF!</v>
      </c>
      <c r="G10" s="54">
        <v>5</v>
      </c>
      <c r="H10" s="61" t="e">
        <f>#REF!+(C3*((1+C4)^5)*C5)</f>
        <v>#REF!</v>
      </c>
      <c r="I10" s="62" t="e">
        <f>H10*(1+CustomRates!#REF!)^-5</f>
        <v>#REF!</v>
      </c>
      <c r="J10" s="61" t="e">
        <f>#REF!</f>
        <v>#REF!</v>
      </c>
      <c r="K10" s="62" t="e">
        <f>J10*(1+CustomRates!#REF!)^-5</f>
        <v>#REF!</v>
      </c>
      <c r="L10" s="61" t="e">
        <f>#REF!+(C3*((1+C4)^5)*C5)</f>
        <v>#REF!</v>
      </c>
      <c r="M10" s="62" t="e">
        <f>L10*(1+CustomRates!#REF!)^-5</f>
        <v>#REF!</v>
      </c>
    </row>
    <row r="11" spans="2:15">
      <c r="B11" s="48" t="s">
        <v>49</v>
      </c>
      <c r="C11" s="47" t="e">
        <f>M11/I11</f>
        <v>#REF!</v>
      </c>
      <c r="D11" s="45" t="e">
        <f>(#REF!*3)*C11</f>
        <v>#REF!</v>
      </c>
      <c r="E11" s="49" t="e">
        <f>(#REF!*3)*C11</f>
        <v>#REF!</v>
      </c>
      <c r="G11" s="54" t="s">
        <v>6</v>
      </c>
      <c r="H11" s="59" t="e">
        <f t="shared" ref="H11:M11" si="0">SUM(H6:H11)</f>
        <v>#REF!</v>
      </c>
      <c r="I11" s="60" t="e">
        <f t="shared" si="0"/>
        <v>#REF!</v>
      </c>
      <c r="J11" s="59" t="e">
        <f t="shared" si="0"/>
        <v>#REF!</v>
      </c>
      <c r="K11" s="60" t="e">
        <f t="shared" si="0"/>
        <v>#REF!</v>
      </c>
      <c r="L11" s="59" t="e">
        <f t="shared" si="0"/>
        <v>#REF!</v>
      </c>
      <c r="M11" s="60" t="e">
        <f t="shared" si="0"/>
        <v>#REF!</v>
      </c>
    </row>
    <row r="12" spans="2:15">
      <c r="B12" s="48"/>
      <c r="C12" s="47"/>
      <c r="D12" s="45"/>
      <c r="E12" s="49"/>
    </row>
    <row r="13" spans="2:15">
      <c r="B13" s="48"/>
      <c r="C13" s="41" t="s">
        <v>58</v>
      </c>
      <c r="E13" s="44"/>
    </row>
    <row r="14" spans="2:15">
      <c r="B14" s="48" t="s">
        <v>56</v>
      </c>
      <c r="C14" s="52" t="e">
        <f>L25</f>
        <v>#REF!</v>
      </c>
      <c r="E14" s="44"/>
      <c r="G14" s="719" t="s">
        <v>60</v>
      </c>
      <c r="H14" s="719"/>
      <c r="I14" s="719"/>
      <c r="J14" s="719"/>
      <c r="K14" s="719"/>
      <c r="L14" s="719"/>
      <c r="M14" s="719"/>
      <c r="N14" s="719"/>
      <c r="O14" s="719"/>
    </row>
    <row r="15" spans="2:15" ht="15" customHeight="1">
      <c r="B15" s="48" t="s">
        <v>57</v>
      </c>
      <c r="C15" s="52" t="e">
        <f>L26</f>
        <v>#REF!</v>
      </c>
      <c r="E15" s="44"/>
      <c r="H15" s="718" t="s">
        <v>63</v>
      </c>
      <c r="I15" s="718"/>
      <c r="J15" s="718"/>
      <c r="K15" s="718"/>
      <c r="L15" s="718" t="s">
        <v>64</v>
      </c>
      <c r="M15" s="718"/>
      <c r="N15" s="718"/>
      <c r="O15" s="718"/>
    </row>
    <row r="16" spans="2:15" ht="32">
      <c r="B16" s="57" t="s">
        <v>65</v>
      </c>
      <c r="C16" s="58">
        <v>321.69</v>
      </c>
      <c r="G16" s="53" t="s">
        <v>26</v>
      </c>
      <c r="H16" s="55" t="s">
        <v>39</v>
      </c>
      <c r="I16" s="55" t="s">
        <v>40</v>
      </c>
      <c r="J16" s="55" t="s">
        <v>61</v>
      </c>
      <c r="K16" s="56" t="s">
        <v>62</v>
      </c>
      <c r="L16" s="55" t="s">
        <v>39</v>
      </c>
      <c r="M16" s="55" t="s">
        <v>40</v>
      </c>
      <c r="N16" s="55" t="s">
        <v>61</v>
      </c>
      <c r="O16" s="56" t="s">
        <v>62</v>
      </c>
    </row>
    <row r="17" spans="7:15">
      <c r="G17" s="53">
        <v>1</v>
      </c>
      <c r="H17" s="59">
        <v>0</v>
      </c>
      <c r="I17" s="59" t="e">
        <f>H17*(1+CustomRates!#REF!)^-1</f>
        <v>#REF!</v>
      </c>
      <c r="J17" s="59" t="e">
        <f>#REF!+(E14*((1+E15)^1)*E16)</f>
        <v>#REF!</v>
      </c>
      <c r="K17" s="60" t="e">
        <f>J17*(1+CustomRates!#REF!)^-1</f>
        <v>#REF!</v>
      </c>
      <c r="L17" s="59">
        <f>C$16</f>
        <v>321.69</v>
      </c>
      <c r="M17" s="59" t="e">
        <f>L17*(1+CustomRates!#REF!)^-2</f>
        <v>#REF!</v>
      </c>
      <c r="N17" s="59" t="e">
        <f>#REF!+(E14*((1+E15)^1)*E16)</f>
        <v>#REF!</v>
      </c>
      <c r="O17" s="60" t="e">
        <f>N17*(1+CustomRates!#REF!)^-1</f>
        <v>#REF!</v>
      </c>
    </row>
    <row r="18" spans="7:15">
      <c r="G18" s="54">
        <v>2</v>
      </c>
      <c r="H18" s="59">
        <v>1</v>
      </c>
      <c r="I18" s="59" t="e">
        <f>H18*(1+CustomRates!#REF!)^-1</f>
        <v>#REF!</v>
      </c>
      <c r="J18" s="59" t="e">
        <f>#REF!+(E14*((1+E15)^2)*E16)</f>
        <v>#REF!</v>
      </c>
      <c r="K18" s="60" t="e">
        <f>J18*(1+CustomRates!#REF!)^-2</f>
        <v>#REF!</v>
      </c>
      <c r="L18" s="59">
        <f t="shared" ref="L18:L21" si="1">C$16</f>
        <v>321.69</v>
      </c>
      <c r="M18" s="59" t="e">
        <f>L18*(1+CustomRates!#REF!)^-2</f>
        <v>#REF!</v>
      </c>
      <c r="N18" s="59" t="e">
        <f>#REF!+(E14*((1+E15)^2)*E16)</f>
        <v>#REF!</v>
      </c>
      <c r="O18" s="60" t="e">
        <f>N18*(1+CustomRates!#REF!)^-2</f>
        <v>#REF!</v>
      </c>
    </row>
    <row r="19" spans="7:15">
      <c r="G19" s="54">
        <v>3</v>
      </c>
      <c r="H19" s="59">
        <v>2</v>
      </c>
      <c r="I19" s="59" t="e">
        <f>H19*(1+CustomRates!#REF!)^-1</f>
        <v>#REF!</v>
      </c>
      <c r="J19" s="59" t="e">
        <f>#REF!+(E14*((1+E15)^3)*E16)</f>
        <v>#REF!</v>
      </c>
      <c r="K19" s="60" t="e">
        <f>J19*(1+CustomRates!#REF!)^-3</f>
        <v>#REF!</v>
      </c>
      <c r="L19" s="59">
        <f t="shared" si="1"/>
        <v>321.69</v>
      </c>
      <c r="M19" s="59" t="e">
        <f>L19*(1+CustomRates!#REF!)^-3</f>
        <v>#REF!</v>
      </c>
      <c r="N19" s="59" t="e">
        <f>#REF!+(E14*((1+E15)^3)*E16)</f>
        <v>#REF!</v>
      </c>
      <c r="O19" s="60" t="e">
        <f>N19*(1+CustomRates!#REF!)^-3</f>
        <v>#REF!</v>
      </c>
    </row>
    <row r="20" spans="7:15">
      <c r="G20" s="54">
        <v>4</v>
      </c>
      <c r="H20" s="59">
        <v>3</v>
      </c>
      <c r="I20" s="59" t="e">
        <f>H20*(1+CustomRates!#REF!)^-1</f>
        <v>#REF!</v>
      </c>
      <c r="J20" s="59" t="e">
        <f>#REF!+(E14*((1+E15)^4)*E16)</f>
        <v>#REF!</v>
      </c>
      <c r="K20" s="60" t="e">
        <f>J20*(1+CustomRates!#REF!)^-4</f>
        <v>#REF!</v>
      </c>
      <c r="L20" s="59">
        <f t="shared" si="1"/>
        <v>321.69</v>
      </c>
      <c r="M20" s="59" t="e">
        <f>L20*(1+CustomRates!#REF!)^-4</f>
        <v>#REF!</v>
      </c>
      <c r="N20" s="59" t="e">
        <f>#REF!+(E14*((1+E15)^4)*E16)</f>
        <v>#REF!</v>
      </c>
      <c r="O20" s="60" t="e">
        <f>N20*(1+CustomRates!#REF!)^-4</f>
        <v>#REF!</v>
      </c>
    </row>
    <row r="21" spans="7:15">
      <c r="G21" s="54">
        <v>5</v>
      </c>
      <c r="H21" s="59">
        <v>4</v>
      </c>
      <c r="I21" s="59" t="e">
        <f>H21*(1+CustomRates!#REF!)^-1</f>
        <v>#REF!</v>
      </c>
      <c r="J21" s="59" t="e">
        <f>#REF!+(E14*((1+E15)^6)*E16)</f>
        <v>#REF!</v>
      </c>
      <c r="K21" s="60" t="e">
        <f>J21*(1+CustomRates!#REF!)^-6</f>
        <v>#REF!</v>
      </c>
      <c r="L21" s="59">
        <f t="shared" si="1"/>
        <v>321.69</v>
      </c>
      <c r="M21" s="59" t="e">
        <f>L21*(1+CustomRates!#REF!)^-6</f>
        <v>#REF!</v>
      </c>
      <c r="N21" s="59" t="e">
        <f>#REF!+(E14*((1+E15)^6)*E16)</f>
        <v>#REF!</v>
      </c>
      <c r="O21" s="60" t="e">
        <f>N21*(1+CustomRates!#REF!)^-6</f>
        <v>#REF!</v>
      </c>
    </row>
    <row r="25" spans="7:15">
      <c r="L25" s="40" t="e">
        <f>M11/6</f>
        <v>#REF!</v>
      </c>
    </row>
    <row r="26" spans="7:15">
      <c r="L26" s="40" t="e">
        <f>(((#REF!*(1+CustomRates!#REF!)^-2)+(#REF!*(1+CustomRates!#REF!)^-4)+(#REF!*(1+CustomRates!#REF!)^-6))-K11)/6</f>
        <v>#REF!</v>
      </c>
    </row>
  </sheetData>
  <mergeCells count="15">
    <mergeCell ref="H15:K15"/>
    <mergeCell ref="L15:O15"/>
    <mergeCell ref="G14:O14"/>
    <mergeCell ref="B7:B9"/>
    <mergeCell ref="G3:M3"/>
    <mergeCell ref="G4:G5"/>
    <mergeCell ref="E7:E9"/>
    <mergeCell ref="C7:C9"/>
    <mergeCell ref="D7:D9"/>
    <mergeCell ref="M4:M5"/>
    <mergeCell ref="H4:H5"/>
    <mergeCell ref="I4:I5"/>
    <mergeCell ref="J4:J5"/>
    <mergeCell ref="K4:K5"/>
    <mergeCell ref="L4:L5"/>
  </mergeCells>
  <phoneticPr fontId="61" type="noConversion"/>
  <pageMargins left="0.7" right="0.7" top="0.75" bottom="0.75" header="0.3" footer="0.3"/>
  <pageSetup orientation="portrait" horizontalDpi="0" verticalDpi="0"/>
  <ignoredErrors>
    <ignoredError sqref="J18:K20 J17:K17 N17 M18:N2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C8CB-64C3-6D4F-B23F-8136A576F1DB}">
  <sheetPr codeName="Sheet31">
    <pageSetUpPr fitToPage="1"/>
  </sheetPr>
  <dimension ref="A1:N30"/>
  <sheetViews>
    <sheetView zoomScale="110" zoomScaleNormal="110" workbookViewId="0">
      <selection activeCell="J27" sqref="J27"/>
    </sheetView>
  </sheetViews>
  <sheetFormatPr baseColWidth="10" defaultColWidth="10.83203125" defaultRowHeight="15"/>
  <cols>
    <col min="1" max="1" width="5.6640625" customWidth="1"/>
    <col min="2" max="2" width="54.1640625" bestFit="1" customWidth="1"/>
    <col min="3" max="3" width="12.6640625" bestFit="1" customWidth="1"/>
    <col min="4" max="4" width="11.5" bestFit="1" customWidth="1"/>
    <col min="5" max="5" width="13.5" customWidth="1"/>
    <col min="6" max="6" width="14.6640625" customWidth="1"/>
    <col min="7" max="7" width="14.83203125" customWidth="1"/>
    <col min="12" max="14" width="10.83203125" style="3"/>
  </cols>
  <sheetData>
    <row r="1" spans="1:12">
      <c r="A1" s="3"/>
      <c r="B1" s="3"/>
      <c r="C1" s="3"/>
      <c r="D1" s="3"/>
      <c r="E1" s="3"/>
      <c r="F1" s="3"/>
      <c r="G1" s="3"/>
      <c r="H1" s="3"/>
      <c r="I1" s="3"/>
      <c r="J1" s="3"/>
      <c r="K1" s="578"/>
      <c r="L1" s="578"/>
    </row>
    <row r="2" spans="1:12" ht="20" customHeight="1">
      <c r="A2" s="5"/>
      <c r="B2" s="589" t="s">
        <v>107</v>
      </c>
      <c r="C2" s="589"/>
      <c r="D2" s="658"/>
      <c r="E2" s="648" t="s">
        <v>305</v>
      </c>
      <c r="F2" s="647"/>
      <c r="G2" s="649"/>
      <c r="H2" s="647" t="s">
        <v>106</v>
      </c>
      <c r="I2" s="647"/>
      <c r="J2" s="647"/>
      <c r="K2" s="578"/>
      <c r="L2" s="578"/>
    </row>
    <row r="3" spans="1:12" ht="32" customHeight="1">
      <c r="A3" s="5"/>
      <c r="B3" s="380"/>
      <c r="C3" s="650" t="s">
        <v>2</v>
      </c>
      <c r="D3" s="650" t="s">
        <v>12</v>
      </c>
      <c r="E3" s="652" t="str">
        <f>'Farm and Rotation Setup'!B5</f>
        <v>Business As Usual</v>
      </c>
      <c r="F3" s="654" t="str">
        <f>'Farm and Rotation Setup'!B14</f>
        <v>Incremental Rotation</v>
      </c>
      <c r="G3" s="656" t="str">
        <f>'Farm and Rotation Setup'!B23</f>
        <v>Aspirational Rotation</v>
      </c>
      <c r="H3" s="6"/>
      <c r="I3" s="366"/>
      <c r="J3" s="366"/>
      <c r="K3" s="578"/>
      <c r="L3" s="578"/>
    </row>
    <row r="4" spans="1:12" ht="20">
      <c r="A4" s="29"/>
      <c r="B4" s="379" t="s">
        <v>10</v>
      </c>
      <c r="C4" s="651"/>
      <c r="D4" s="651"/>
      <c r="E4" s="653"/>
      <c r="F4" s="655"/>
      <c r="G4" s="657"/>
      <c r="H4" s="6" t="s">
        <v>2</v>
      </c>
      <c r="I4" s="134" t="s">
        <v>12</v>
      </c>
      <c r="J4" s="134" t="s">
        <v>13</v>
      </c>
      <c r="K4" s="578"/>
      <c r="L4" s="578"/>
    </row>
    <row r="5" spans="1:12" ht="21" customHeight="1">
      <c r="A5" s="5"/>
      <c r="B5" s="5" t="str">
        <f>'Farm and Rotation Setup'!B35</f>
        <v>SW Winter Wheat after Spring Legume</v>
      </c>
      <c r="C5" s="141" t="s">
        <v>247</v>
      </c>
      <c r="D5" s="137">
        <v>12</v>
      </c>
      <c r="E5" s="383">
        <v>90</v>
      </c>
      <c r="F5" s="384">
        <v>92</v>
      </c>
      <c r="G5" s="385">
        <v>94</v>
      </c>
      <c r="H5" s="141" t="s">
        <v>246</v>
      </c>
      <c r="I5" s="338">
        <v>0.25</v>
      </c>
      <c r="J5" s="138">
        <v>90</v>
      </c>
      <c r="K5" s="3"/>
    </row>
    <row r="6" spans="1:12" ht="21" customHeight="1">
      <c r="A6" s="5"/>
      <c r="B6" s="5" t="str">
        <f>'Farm and Rotation Setup'!B36</f>
        <v>SW Winter Wheat after Forage Crop</v>
      </c>
      <c r="C6" s="141" t="s">
        <v>247</v>
      </c>
      <c r="D6" s="137">
        <v>12</v>
      </c>
      <c r="E6" s="386">
        <v>93</v>
      </c>
      <c r="F6" s="387">
        <v>95</v>
      </c>
      <c r="G6" s="388">
        <v>96</v>
      </c>
      <c r="H6" s="141" t="s">
        <v>246</v>
      </c>
      <c r="I6" s="338">
        <v>0.25</v>
      </c>
      <c r="J6" s="138">
        <v>90</v>
      </c>
      <c r="K6" s="3"/>
    </row>
    <row r="7" spans="1:12" ht="20">
      <c r="A7" s="30"/>
      <c r="B7" s="5" t="str">
        <f>'Farm and Rotation Setup'!B37</f>
        <v>DN Spring Wheat after Spring Legume</v>
      </c>
      <c r="C7" s="141" t="s">
        <v>247</v>
      </c>
      <c r="D7" s="137">
        <v>14</v>
      </c>
      <c r="E7" s="386">
        <v>62</v>
      </c>
      <c r="F7" s="387">
        <v>64</v>
      </c>
      <c r="G7" s="388">
        <v>66</v>
      </c>
      <c r="H7" s="141" t="s">
        <v>246</v>
      </c>
      <c r="I7" s="338">
        <v>0.3</v>
      </c>
      <c r="J7" s="138">
        <v>100</v>
      </c>
      <c r="K7" s="3"/>
    </row>
    <row r="8" spans="1:12" ht="20">
      <c r="A8" s="4"/>
      <c r="B8" s="5" t="str">
        <f>'Farm and Rotation Setup'!B38</f>
        <v>DN Spring Wheat after Forage Crop</v>
      </c>
      <c r="C8" s="141" t="s">
        <v>247</v>
      </c>
      <c r="D8" s="137">
        <v>14</v>
      </c>
      <c r="E8" s="386">
        <v>62</v>
      </c>
      <c r="F8" s="387">
        <v>64</v>
      </c>
      <c r="G8" s="388">
        <v>66</v>
      </c>
      <c r="H8" s="141" t="s">
        <v>246</v>
      </c>
      <c r="I8" s="338">
        <v>0.3</v>
      </c>
      <c r="J8" s="138">
        <v>100</v>
      </c>
      <c r="K8" s="3"/>
    </row>
    <row r="9" spans="1:12" ht="20">
      <c r="A9" s="130"/>
      <c r="B9" s="5" t="str">
        <f>'Farm and Rotation Setup'!B39</f>
        <v>DN Spring Wheat after Winter Crop</v>
      </c>
      <c r="C9" s="141" t="s">
        <v>247</v>
      </c>
      <c r="D9" s="137">
        <v>14</v>
      </c>
      <c r="E9" s="386">
        <v>60</v>
      </c>
      <c r="F9" s="387">
        <v>62</v>
      </c>
      <c r="G9" s="388">
        <v>64</v>
      </c>
      <c r="H9" s="141" t="s">
        <v>246</v>
      </c>
      <c r="I9" s="338">
        <v>0.3</v>
      </c>
      <c r="J9" s="138">
        <v>100</v>
      </c>
      <c r="K9" s="3"/>
    </row>
    <row r="10" spans="1:12" ht="20">
      <c r="A10" s="4"/>
      <c r="B10" s="5" t="str">
        <f>'Farm and Rotation Setup'!B40</f>
        <v>Chickpea after Forage Crop</v>
      </c>
      <c r="C10" s="141" t="s">
        <v>118</v>
      </c>
      <c r="D10" s="137">
        <v>0.16</v>
      </c>
      <c r="E10" s="386">
        <v>1400</v>
      </c>
      <c r="F10" s="387">
        <v>1400</v>
      </c>
      <c r="G10" s="388">
        <v>1400</v>
      </c>
      <c r="H10" s="141" t="s">
        <v>246</v>
      </c>
      <c r="I10" s="137">
        <v>0.53</v>
      </c>
      <c r="J10" s="138">
        <v>130</v>
      </c>
      <c r="K10" s="3"/>
    </row>
    <row r="11" spans="1:12" ht="20">
      <c r="A11" s="4"/>
      <c r="B11" s="5" t="str">
        <f>'Farm and Rotation Setup'!B41</f>
        <v>Chickpea after Cereal</v>
      </c>
      <c r="C11" s="141" t="s">
        <v>118</v>
      </c>
      <c r="D11" s="137">
        <v>0.16</v>
      </c>
      <c r="E11" s="386">
        <v>1400</v>
      </c>
      <c r="F11" s="387">
        <v>1400</v>
      </c>
      <c r="G11" s="388">
        <v>1400</v>
      </c>
      <c r="H11" s="141" t="s">
        <v>246</v>
      </c>
      <c r="I11" s="137">
        <v>0.53</v>
      </c>
      <c r="J11" s="138">
        <v>130</v>
      </c>
      <c r="K11" s="3"/>
    </row>
    <row r="12" spans="1:12" ht="20">
      <c r="A12" s="4"/>
      <c r="B12" s="5" t="str">
        <f>'Farm and Rotation Setup'!B42</f>
        <v>Spring Pea after Cereal</v>
      </c>
      <c r="C12" s="141" t="s">
        <v>118</v>
      </c>
      <c r="D12" s="137">
        <v>0.12</v>
      </c>
      <c r="E12" s="386">
        <v>2000</v>
      </c>
      <c r="F12" s="387">
        <v>2000</v>
      </c>
      <c r="G12" s="388">
        <v>2000</v>
      </c>
      <c r="H12" s="141" t="s">
        <v>246</v>
      </c>
      <c r="I12" s="137">
        <v>0.34</v>
      </c>
      <c r="J12" s="138">
        <v>200</v>
      </c>
      <c r="K12" s="3"/>
    </row>
    <row r="13" spans="1:12" ht="20">
      <c r="A13" s="4"/>
      <c r="B13" s="5" t="str">
        <f>'Farm and Rotation Setup'!B43</f>
        <v>Forage Crop-St. John Area</v>
      </c>
      <c r="C13" s="141" t="s">
        <v>245</v>
      </c>
      <c r="D13" s="137">
        <v>0</v>
      </c>
      <c r="E13" s="386">
        <v>0</v>
      </c>
      <c r="F13" s="387">
        <v>0</v>
      </c>
      <c r="G13" s="388">
        <v>0</v>
      </c>
      <c r="H13" s="141" t="s">
        <v>246</v>
      </c>
      <c r="I13" s="137">
        <v>0.36</v>
      </c>
      <c r="J13" s="138">
        <v>82.24</v>
      </c>
      <c r="K13" s="3"/>
    </row>
    <row r="14" spans="1:12" ht="20">
      <c r="A14" s="4"/>
      <c r="B14" s="5" t="str">
        <f>'Farm and Rotation Setup'!B44</f>
        <v>Forage Crop-Genesee Area</v>
      </c>
      <c r="C14" s="141" t="s">
        <v>245</v>
      </c>
      <c r="D14" s="137">
        <v>0</v>
      </c>
      <c r="E14" s="386">
        <v>0</v>
      </c>
      <c r="F14" s="387">
        <v>0</v>
      </c>
      <c r="G14" s="388">
        <v>0</v>
      </c>
      <c r="H14" s="141" t="s">
        <v>246</v>
      </c>
      <c r="I14" s="137">
        <v>0.44</v>
      </c>
      <c r="J14" s="138">
        <v>63.5</v>
      </c>
      <c r="K14" s="3"/>
    </row>
    <row r="15" spans="1:12" ht="20">
      <c r="A15" s="4"/>
      <c r="B15" s="5" t="str">
        <f>'Farm and Rotation Setup'!B45</f>
        <v>Livestock Grazing</v>
      </c>
      <c r="C15" s="356" t="s">
        <v>271</v>
      </c>
      <c r="D15" s="357">
        <v>120</v>
      </c>
      <c r="E15" s="389">
        <v>1</v>
      </c>
      <c r="F15" s="381">
        <v>1</v>
      </c>
      <c r="G15" s="390">
        <v>1</v>
      </c>
      <c r="H15" s="8" t="s">
        <v>97</v>
      </c>
      <c r="I15" s="8" t="s">
        <v>97</v>
      </c>
      <c r="J15" s="358">
        <v>0</v>
      </c>
      <c r="K15" s="3"/>
    </row>
    <row r="16" spans="1:12" ht="21" customHeight="1">
      <c r="A16" s="5"/>
      <c r="B16" s="5" t="str">
        <f>'Farm and Rotation Setup'!B46</f>
        <v>SW Winter Wheat after Cereal</v>
      </c>
      <c r="C16" s="141" t="s">
        <v>247</v>
      </c>
      <c r="D16" s="137">
        <v>4.79</v>
      </c>
      <c r="E16" s="386">
        <v>90</v>
      </c>
      <c r="F16" s="387">
        <v>90</v>
      </c>
      <c r="G16" s="388">
        <v>90</v>
      </c>
      <c r="H16" s="141" t="s">
        <v>246</v>
      </c>
      <c r="I16" s="338">
        <v>0.25</v>
      </c>
      <c r="J16" s="138">
        <v>90</v>
      </c>
      <c r="K16" s="3"/>
    </row>
    <row r="17" spans="1:11" ht="21" customHeight="1">
      <c r="A17" s="5"/>
      <c r="B17" s="5" t="str">
        <f>'Farm and Rotation Setup'!B47</f>
        <v>SW Winter Wheat after Fallow</v>
      </c>
      <c r="C17" s="141" t="s">
        <v>247</v>
      </c>
      <c r="D17" s="137">
        <v>4.79</v>
      </c>
      <c r="E17" s="386">
        <v>90</v>
      </c>
      <c r="F17" s="387">
        <v>90</v>
      </c>
      <c r="G17" s="388">
        <v>90</v>
      </c>
      <c r="H17" s="141" t="s">
        <v>246</v>
      </c>
      <c r="I17" s="338">
        <v>0.25</v>
      </c>
      <c r="J17" s="138">
        <v>90</v>
      </c>
      <c r="K17" s="3"/>
    </row>
    <row r="18" spans="1:11" ht="20">
      <c r="A18" s="4"/>
      <c r="B18" s="5" t="str">
        <f>'Farm and Rotation Setup'!B48</f>
        <v>Chem-Fallow</v>
      </c>
      <c r="C18" s="8" t="s">
        <v>245</v>
      </c>
      <c r="D18" s="73">
        <v>0</v>
      </c>
      <c r="E18" s="391">
        <v>0</v>
      </c>
      <c r="F18" s="392">
        <v>0</v>
      </c>
      <c r="G18" s="393">
        <v>0</v>
      </c>
      <c r="H18" s="8" t="s">
        <v>97</v>
      </c>
      <c r="I18" s="8" t="s">
        <v>97</v>
      </c>
      <c r="J18" s="252">
        <v>0</v>
      </c>
      <c r="K18" s="3"/>
    </row>
    <row r="19" spans="1:11" ht="20">
      <c r="A19" s="4"/>
      <c r="B19" s="5" t="str">
        <f>'Farm and Rotation Setup'!B49</f>
        <v>Flex-Fallow</v>
      </c>
      <c r="C19" s="8" t="s">
        <v>245</v>
      </c>
      <c r="D19" s="73">
        <v>0</v>
      </c>
      <c r="E19" s="391">
        <v>0</v>
      </c>
      <c r="F19" s="392">
        <v>0</v>
      </c>
      <c r="G19" s="393">
        <v>0</v>
      </c>
      <c r="H19" s="8" t="s">
        <v>97</v>
      </c>
      <c r="I19" s="8" t="s">
        <v>97</v>
      </c>
      <c r="J19" s="252">
        <v>0</v>
      </c>
      <c r="K19" s="3"/>
    </row>
    <row r="20" spans="1:11" ht="20">
      <c r="A20" s="4"/>
      <c r="B20" s="5" t="str">
        <f>'Farm and Rotation Setup'!B50</f>
        <v>Spring Barley</v>
      </c>
      <c r="C20" s="141" t="s">
        <v>270</v>
      </c>
      <c r="D20" s="137">
        <v>140.97</v>
      </c>
      <c r="E20" s="386">
        <v>2</v>
      </c>
      <c r="F20" s="387">
        <v>2</v>
      </c>
      <c r="G20" s="388">
        <v>2</v>
      </c>
      <c r="H20" s="141" t="s">
        <v>246</v>
      </c>
      <c r="I20" s="338">
        <v>0.24</v>
      </c>
      <c r="J20" s="138">
        <v>80</v>
      </c>
      <c r="K20" s="3"/>
    </row>
    <row r="21" spans="1:11" ht="20">
      <c r="A21" s="4"/>
      <c r="B21" s="5" t="str">
        <f>'Farm and Rotation Setup'!B51</f>
        <v>Roundup Ready Spring Canola</v>
      </c>
      <c r="C21" s="141" t="s">
        <v>118</v>
      </c>
      <c r="D21" s="137">
        <v>0.15</v>
      </c>
      <c r="E21" s="386">
        <v>1800</v>
      </c>
      <c r="F21" s="387">
        <v>1800</v>
      </c>
      <c r="G21" s="388">
        <v>1800</v>
      </c>
      <c r="H21" s="141" t="s">
        <v>246</v>
      </c>
      <c r="I21" s="338">
        <v>11.2</v>
      </c>
      <c r="J21" s="138">
        <v>4</v>
      </c>
      <c r="K21" s="3"/>
    </row>
    <row r="22" spans="1:11" ht="20">
      <c r="A22" s="4"/>
      <c r="B22" s="5" t="str">
        <f>'Farm and Rotation Setup'!B52</f>
        <v>Spring Canola</v>
      </c>
      <c r="C22" s="141" t="s">
        <v>118</v>
      </c>
      <c r="D22" s="137">
        <v>0.15</v>
      </c>
      <c r="E22" s="386">
        <v>1800</v>
      </c>
      <c r="F22" s="387">
        <v>1800</v>
      </c>
      <c r="G22" s="388">
        <v>1800</v>
      </c>
      <c r="H22" s="141" t="s">
        <v>246</v>
      </c>
      <c r="I22" s="338">
        <v>0.4</v>
      </c>
      <c r="J22" s="138">
        <v>4</v>
      </c>
      <c r="K22" s="3"/>
    </row>
    <row r="23" spans="1:11" ht="20">
      <c r="A23" s="4"/>
      <c r="B23" s="5" t="str">
        <f>'Farm and Rotation Setup'!B53</f>
        <v>Spring Lentils</v>
      </c>
      <c r="C23" s="141" t="s">
        <v>118</v>
      </c>
      <c r="D23" s="137">
        <v>0.18</v>
      </c>
      <c r="E23" s="386">
        <v>1800</v>
      </c>
      <c r="F23" s="387">
        <v>1800</v>
      </c>
      <c r="G23" s="388">
        <v>1800</v>
      </c>
      <c r="H23" s="141" t="s">
        <v>246</v>
      </c>
      <c r="I23" s="338">
        <v>0.39</v>
      </c>
      <c r="J23" s="138">
        <v>45</v>
      </c>
      <c r="K23" s="3"/>
    </row>
    <row r="24" spans="1:11" ht="20">
      <c r="A24" s="30"/>
      <c r="B24" s="5" t="str">
        <f>'Farm and Rotation Setup'!B54</f>
        <v>SW Spring Wheat</v>
      </c>
      <c r="C24" s="141" t="s">
        <v>247</v>
      </c>
      <c r="D24" s="137">
        <v>5.97</v>
      </c>
      <c r="E24" s="386">
        <v>65</v>
      </c>
      <c r="F24" s="387">
        <v>65</v>
      </c>
      <c r="G24" s="388">
        <v>65</v>
      </c>
      <c r="H24" s="141" t="s">
        <v>246</v>
      </c>
      <c r="I24" s="338">
        <v>0.27</v>
      </c>
      <c r="J24" s="138">
        <v>100</v>
      </c>
      <c r="K24" s="3"/>
    </row>
    <row r="25" spans="1:11" ht="20">
      <c r="A25" s="131"/>
      <c r="B25" s="5" t="str">
        <f>'Farm and Rotation Setup'!B55</f>
        <v>HR Winter Wheat</v>
      </c>
      <c r="C25" s="141" t="s">
        <v>247</v>
      </c>
      <c r="D25" s="137">
        <v>6.44</v>
      </c>
      <c r="E25" s="386">
        <v>60</v>
      </c>
      <c r="F25" s="387">
        <v>60</v>
      </c>
      <c r="G25" s="388">
        <v>60</v>
      </c>
      <c r="H25" s="141" t="s">
        <v>246</v>
      </c>
      <c r="I25" s="338">
        <v>0.3</v>
      </c>
      <c r="J25" s="138">
        <v>100</v>
      </c>
      <c r="K25" s="3"/>
    </row>
    <row r="26" spans="1:11" ht="20">
      <c r="A26" s="4"/>
      <c r="B26" s="5" t="str">
        <f>'Farm and Rotation Setup'!B56</f>
        <v>Winter Pea</v>
      </c>
      <c r="C26" s="141" t="s">
        <v>118</v>
      </c>
      <c r="D26" s="137">
        <v>0.12</v>
      </c>
      <c r="E26" s="386">
        <v>2000</v>
      </c>
      <c r="F26" s="387">
        <v>2000</v>
      </c>
      <c r="G26" s="388">
        <v>2000</v>
      </c>
      <c r="H26" s="141" t="s">
        <v>246</v>
      </c>
      <c r="I26" s="137">
        <v>0.34</v>
      </c>
      <c r="J26" s="138">
        <v>200</v>
      </c>
      <c r="K26" s="3"/>
    </row>
    <row r="27" spans="1:11" ht="20">
      <c r="A27" s="4"/>
      <c r="B27" s="5" t="str">
        <f>'Farm and Rotation Setup'!B57</f>
        <v>Winter Canola</v>
      </c>
      <c r="C27" s="141" t="s">
        <v>118</v>
      </c>
      <c r="D27" s="137">
        <v>0.15</v>
      </c>
      <c r="E27" s="386">
        <v>2000</v>
      </c>
      <c r="F27" s="387">
        <v>2000</v>
      </c>
      <c r="G27" s="388">
        <v>2000</v>
      </c>
      <c r="H27" s="141" t="s">
        <v>246</v>
      </c>
      <c r="I27" s="338">
        <v>11.5</v>
      </c>
      <c r="J27" s="138">
        <v>5</v>
      </c>
      <c r="K27" s="3"/>
    </row>
    <row r="28" spans="1:11" ht="20">
      <c r="A28" s="4"/>
      <c r="B28" s="42" t="str">
        <f>'Farm and Rotation Setup'!B58</f>
        <v>Forage Crop-Soil Builder Blend</v>
      </c>
      <c r="C28" s="359" t="s">
        <v>245</v>
      </c>
      <c r="D28" s="360">
        <v>0</v>
      </c>
      <c r="E28" s="394">
        <v>0</v>
      </c>
      <c r="F28" s="382">
        <v>0</v>
      </c>
      <c r="G28" s="395">
        <v>0</v>
      </c>
      <c r="H28" s="359" t="s">
        <v>246</v>
      </c>
      <c r="I28" s="360">
        <v>0.44</v>
      </c>
      <c r="J28" s="361">
        <v>50</v>
      </c>
      <c r="K28" s="3"/>
    </row>
    <row r="29" spans="1:11">
      <c r="A29" s="3"/>
      <c r="B29" s="3"/>
      <c r="C29" s="3"/>
      <c r="D29" s="3"/>
      <c r="E29" s="3"/>
      <c r="F29" s="3"/>
      <c r="G29" s="3"/>
      <c r="H29" s="3"/>
      <c r="I29" s="3"/>
      <c r="J29" s="3"/>
      <c r="K29" s="3"/>
    </row>
    <row r="30" spans="1:11">
      <c r="A30" s="3"/>
      <c r="B30" s="3"/>
      <c r="C30" s="3"/>
      <c r="D30" s="3"/>
      <c r="E30" s="3"/>
      <c r="F30" s="3"/>
      <c r="G30" s="3"/>
      <c r="H30" s="3"/>
      <c r="I30" s="3"/>
      <c r="J30" s="3"/>
      <c r="K30" s="3"/>
    </row>
  </sheetData>
  <sheetProtection algorithmName="SHA-512" hashValue="9t0CUKuO8dLSNoPCgzKzh/i9+Cdo4UQ0STo5PVGd1wkcOO5KxueVfYtCfMLMpXD5sujHRbyc5h3Xo8afVN9qUQ==" saltValue="9ljIFy0mVzd69UXVOm3WqQ==" spinCount="100000" sheet="1" objects="1" scenarios="1"/>
  <mergeCells count="8">
    <mergeCell ref="H2:J2"/>
    <mergeCell ref="E2:G2"/>
    <mergeCell ref="C3:C4"/>
    <mergeCell ref="D3:D4"/>
    <mergeCell ref="E3:E4"/>
    <mergeCell ref="F3:F4"/>
    <mergeCell ref="G3:G4"/>
    <mergeCell ref="B2:D2"/>
  </mergeCells>
  <pageMargins left="0.7" right="0.7" top="0.75" bottom="0.75" header="0.3" footer="0.3"/>
  <pageSetup scale="79" orientation="landscape" horizontalDpi="0" verticalDpi="0"/>
  <ignoredErrors>
    <ignoredError sqref="B17 B24 B25 B28 B26 B27" unlockedFormula="1"/>
  </ignoredErrors>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9F9E-2D9E-7D43-9240-3A83050C0DF5}">
  <sheetPr codeName="Sheet34">
    <pageSetUpPr fitToPage="1"/>
  </sheetPr>
  <dimension ref="A1:K27"/>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26.6640625" customWidth="1"/>
    <col min="4" max="4" width="12.6640625" bestFit="1" customWidth="1"/>
    <col min="5" max="5" width="11.5" bestFit="1" customWidth="1"/>
    <col min="6" max="6" width="13.5" customWidth="1"/>
    <col min="8" max="11" width="10.83203125" style="3"/>
  </cols>
  <sheetData>
    <row r="1" spans="1:8">
      <c r="A1" s="3"/>
      <c r="B1" s="3"/>
      <c r="C1" s="3"/>
      <c r="D1" s="3"/>
      <c r="E1" s="3"/>
      <c r="F1" s="3"/>
      <c r="G1" s="3"/>
    </row>
    <row r="2" spans="1:8" ht="20">
      <c r="A2" s="5"/>
      <c r="B2" s="589" t="s">
        <v>145</v>
      </c>
      <c r="C2" s="589"/>
      <c r="D2" s="589"/>
      <c r="E2" s="589"/>
      <c r="F2" s="589"/>
      <c r="G2" s="578"/>
      <c r="H2" s="578"/>
    </row>
    <row r="3" spans="1:8" ht="20">
      <c r="A3" s="5"/>
      <c r="B3" s="5" t="s">
        <v>148</v>
      </c>
      <c r="C3" s="5"/>
      <c r="D3" s="5"/>
      <c r="E3" s="5"/>
      <c r="F3" s="232">
        <v>65</v>
      </c>
      <c r="G3" s="578"/>
      <c r="H3" s="578"/>
    </row>
    <row r="4" spans="1:8" ht="20">
      <c r="A4" s="5"/>
      <c r="B4" s="5" t="s">
        <v>182</v>
      </c>
      <c r="C4" s="42"/>
      <c r="D4" s="42"/>
      <c r="E4" s="42"/>
      <c r="F4" s="233">
        <v>5</v>
      </c>
      <c r="G4" s="578"/>
      <c r="H4" s="578"/>
    </row>
    <row r="5" spans="1:8" ht="20">
      <c r="A5" s="29"/>
      <c r="B5" s="132" t="s">
        <v>147</v>
      </c>
      <c r="C5" s="133" t="s">
        <v>3</v>
      </c>
      <c r="D5" s="133" t="s">
        <v>2</v>
      </c>
      <c r="E5" s="133" t="s">
        <v>12</v>
      </c>
      <c r="F5" s="7" t="s">
        <v>6</v>
      </c>
      <c r="G5" s="3"/>
    </row>
    <row r="6" spans="1:8" ht="20">
      <c r="A6" s="29"/>
      <c r="B6" s="255" t="s">
        <v>222</v>
      </c>
      <c r="C6" s="256"/>
      <c r="D6" s="257"/>
      <c r="E6" s="258"/>
      <c r="F6" s="259"/>
      <c r="G6" s="3"/>
    </row>
    <row r="7" spans="1:8" ht="21" customHeight="1">
      <c r="A7" s="5"/>
      <c r="B7" s="264" t="s">
        <v>149</v>
      </c>
      <c r="C7" s="264"/>
      <c r="D7" s="220">
        <v>180</v>
      </c>
      <c r="E7" s="137">
        <v>4.29</v>
      </c>
      <c r="F7" s="254">
        <f>IF((D7*E7)&lt;0,0,D7*E7)</f>
        <v>772.2</v>
      </c>
      <c r="G7" s="3"/>
    </row>
    <row r="8" spans="1:8" ht="20">
      <c r="A8" s="30"/>
      <c r="B8" s="264" t="s">
        <v>150</v>
      </c>
      <c r="C8" s="265" t="s">
        <v>151</v>
      </c>
      <c r="D8" s="220">
        <v>7</v>
      </c>
      <c r="E8" s="137">
        <v>155.99</v>
      </c>
      <c r="F8" s="254">
        <f t="shared" ref="F8:F23" si="0">IF((D8*E8)&lt;0,0,D8*E8)</f>
        <v>1091.93</v>
      </c>
      <c r="G8" s="3"/>
    </row>
    <row r="9" spans="1:8" ht="20">
      <c r="A9" s="130"/>
      <c r="B9" s="264" t="s">
        <v>152</v>
      </c>
      <c r="C9" s="266" t="s">
        <v>153</v>
      </c>
      <c r="D9" s="220">
        <v>50</v>
      </c>
      <c r="E9" s="137">
        <v>4.79</v>
      </c>
      <c r="F9" s="254">
        <f t="shared" si="0"/>
        <v>239.5</v>
      </c>
      <c r="G9" s="3"/>
    </row>
    <row r="10" spans="1:8" ht="20">
      <c r="A10" s="131"/>
      <c r="B10" s="264" t="s">
        <v>154</v>
      </c>
      <c r="C10" s="266" t="s">
        <v>155</v>
      </c>
      <c r="D10" s="220">
        <v>8</v>
      </c>
      <c r="E10" s="137">
        <v>12.89</v>
      </c>
      <c r="F10" s="254">
        <f t="shared" si="0"/>
        <v>103.12</v>
      </c>
      <c r="G10" s="3"/>
    </row>
    <row r="11" spans="1:8" ht="20">
      <c r="A11" s="4"/>
      <c r="B11" s="264" t="s">
        <v>156</v>
      </c>
      <c r="C11" s="267"/>
      <c r="D11" s="220">
        <v>1</v>
      </c>
      <c r="E11" s="137">
        <v>59.99</v>
      </c>
      <c r="F11" s="254">
        <f t="shared" si="0"/>
        <v>59.99</v>
      </c>
      <c r="G11" s="3"/>
    </row>
    <row r="12" spans="1:8" ht="20">
      <c r="A12" s="4"/>
      <c r="B12" s="189" t="s">
        <v>157</v>
      </c>
      <c r="C12" s="219"/>
      <c r="D12" s="220">
        <v>3</v>
      </c>
      <c r="E12" s="137">
        <v>36.99</v>
      </c>
      <c r="F12" s="254">
        <f t="shared" si="0"/>
        <v>110.97</v>
      </c>
      <c r="G12" s="3"/>
    </row>
    <row r="13" spans="1:8" ht="20">
      <c r="A13" s="4"/>
      <c r="B13" s="189" t="s">
        <v>158</v>
      </c>
      <c r="C13" s="219"/>
      <c r="D13" s="220">
        <v>1</v>
      </c>
      <c r="E13" s="137">
        <v>185.46</v>
      </c>
      <c r="F13" s="254">
        <f t="shared" si="0"/>
        <v>185.46</v>
      </c>
      <c r="G13" s="3"/>
    </row>
    <row r="14" spans="1:8" ht="20">
      <c r="A14" s="4"/>
      <c r="B14" s="218" t="s">
        <v>160</v>
      </c>
      <c r="C14" s="219" t="s">
        <v>165</v>
      </c>
      <c r="D14" s="220">
        <v>1</v>
      </c>
      <c r="E14" s="137">
        <v>500</v>
      </c>
      <c r="F14" s="254">
        <f t="shared" si="0"/>
        <v>500</v>
      </c>
      <c r="G14" s="3"/>
    </row>
    <row r="15" spans="1:8" ht="20">
      <c r="A15" s="4"/>
      <c r="B15" s="218" t="s">
        <v>8</v>
      </c>
      <c r="C15" s="218" t="s">
        <v>8</v>
      </c>
      <c r="D15" s="220">
        <v>0</v>
      </c>
      <c r="E15" s="137">
        <v>0</v>
      </c>
      <c r="F15" s="254">
        <f t="shared" si="0"/>
        <v>0</v>
      </c>
      <c r="G15" s="3"/>
    </row>
    <row r="16" spans="1:8" ht="20">
      <c r="A16" s="4"/>
      <c r="B16" s="218"/>
      <c r="C16" s="218"/>
      <c r="D16" s="220"/>
      <c r="E16" s="137"/>
      <c r="F16" s="254"/>
      <c r="G16" s="3"/>
    </row>
    <row r="17" spans="1:11" ht="20">
      <c r="A17" s="4"/>
      <c r="B17" s="218"/>
      <c r="C17" s="218"/>
      <c r="D17" s="220"/>
      <c r="E17" s="137"/>
      <c r="F17" s="254"/>
      <c r="G17" s="3"/>
    </row>
    <row r="18" spans="1:11" ht="20">
      <c r="A18" s="4"/>
      <c r="B18" s="218" t="s">
        <v>8</v>
      </c>
      <c r="C18" s="218" t="s">
        <v>8</v>
      </c>
      <c r="D18" s="220">
        <v>0</v>
      </c>
      <c r="E18" s="137">
        <v>0</v>
      </c>
      <c r="F18" s="254">
        <f t="shared" ref="F18" si="1">IF((D18*E18)&lt;0,0,D18*E18)</f>
        <v>0</v>
      </c>
      <c r="G18" s="3"/>
    </row>
    <row r="19" spans="1:11" ht="20">
      <c r="A19" s="4"/>
      <c r="B19" s="255" t="s">
        <v>183</v>
      </c>
      <c r="C19" s="256"/>
      <c r="D19" s="257"/>
      <c r="E19" s="258"/>
      <c r="F19" s="259"/>
      <c r="G19" s="3"/>
    </row>
    <row r="20" spans="1:11" ht="20">
      <c r="A20" s="4"/>
      <c r="B20" s="218" t="s">
        <v>8</v>
      </c>
      <c r="C20" s="218" t="s">
        <v>8</v>
      </c>
      <c r="D20" s="220">
        <v>0</v>
      </c>
      <c r="E20" s="137">
        <v>0</v>
      </c>
      <c r="F20" s="254">
        <f t="shared" si="0"/>
        <v>0</v>
      </c>
      <c r="G20" s="3"/>
    </row>
    <row r="21" spans="1:11" s="173" customFormat="1" ht="20">
      <c r="A21" s="4"/>
      <c r="B21" s="218" t="s">
        <v>8</v>
      </c>
      <c r="C21" s="219"/>
      <c r="D21" s="220">
        <v>0</v>
      </c>
      <c r="E21" s="137">
        <v>0</v>
      </c>
      <c r="F21" s="254">
        <f t="shared" si="0"/>
        <v>0</v>
      </c>
      <c r="G21" s="172"/>
      <c r="H21" s="172"/>
      <c r="I21" s="172"/>
      <c r="J21" s="172"/>
      <c r="K21" s="172"/>
    </row>
    <row r="22" spans="1:11" ht="20">
      <c r="A22" s="4"/>
      <c r="B22" s="218" t="s">
        <v>164</v>
      </c>
      <c r="C22" s="219" t="s">
        <v>163</v>
      </c>
      <c r="D22" s="220">
        <v>20</v>
      </c>
      <c r="E22" s="137">
        <v>15</v>
      </c>
      <c r="F22" s="254">
        <f t="shared" si="0"/>
        <v>300</v>
      </c>
      <c r="G22" s="3"/>
    </row>
    <row r="23" spans="1:11" ht="20">
      <c r="A23" s="4"/>
      <c r="B23" s="218" t="s">
        <v>161</v>
      </c>
      <c r="C23" s="219" t="s">
        <v>162</v>
      </c>
      <c r="D23" s="220">
        <v>2000</v>
      </c>
      <c r="E23" s="137">
        <v>0.5</v>
      </c>
      <c r="F23" s="260">
        <f t="shared" si="0"/>
        <v>1000</v>
      </c>
      <c r="G23" s="3"/>
    </row>
    <row r="24" spans="1:11" ht="20">
      <c r="A24" s="4"/>
      <c r="B24" s="251" t="s">
        <v>308</v>
      </c>
      <c r="C24" s="251"/>
      <c r="D24" s="43" t="s">
        <v>8</v>
      </c>
      <c r="E24" s="261" t="s">
        <v>8</v>
      </c>
      <c r="F24" s="254">
        <f>SUM(F7:F23)</f>
        <v>4363.17</v>
      </c>
      <c r="G24" s="3"/>
    </row>
    <row r="25" spans="1:11" ht="20">
      <c r="A25" s="4"/>
      <c r="B25" s="251" t="s">
        <v>159</v>
      </c>
      <c r="C25" s="251"/>
      <c r="D25" s="43" t="s">
        <v>8</v>
      </c>
      <c r="E25" s="261" t="s">
        <v>8</v>
      </c>
      <c r="F25" s="262">
        <f>F24/F3</f>
        <v>67.125692307692304</v>
      </c>
      <c r="G25" s="3"/>
    </row>
    <row r="26" spans="1:11" ht="20">
      <c r="A26" s="3"/>
      <c r="B26" s="253" t="s">
        <v>223</v>
      </c>
      <c r="C26" s="253"/>
      <c r="D26" s="242" t="s">
        <v>8</v>
      </c>
      <c r="E26" s="263" t="s">
        <v>8</v>
      </c>
      <c r="F26" s="259">
        <f>((SUM(F7:F18)/F3)/F4)+((F20+F21+F22+F23)/F3)</f>
        <v>29.425138461538459</v>
      </c>
      <c r="G26" s="3"/>
    </row>
    <row r="27" spans="1:11">
      <c r="A27" s="3"/>
      <c r="B27" s="3"/>
      <c r="C27" s="3"/>
      <c r="D27" s="3"/>
      <c r="E27" s="3"/>
      <c r="F27" s="3"/>
      <c r="G27" s="3"/>
    </row>
  </sheetData>
  <sheetProtection algorithmName="SHA-512" hashValue="uDCYiOyTZiMpPUEY7Z0jM3JXzjK93cQvdEm0cxEvMZeyUHXfR5iuqkZPyeeQ+fL/t8yzphJ/7PbwBnytK+XBOg==" saltValue="k+qPSUefX1RYg7+kQHLYbQ==" spinCount="100000" sheet="1" objects="1" scenarios="1"/>
  <mergeCells count="1">
    <mergeCell ref="B2:F2"/>
  </mergeCells>
  <pageMargins left="0.7" right="0.7" top="0.75" bottom="0.75" header="0.3" footer="0.3"/>
  <pageSetup scale="41" orientation="landscape" horizontalDpi="0" verticalDpi="0"/>
  <ignoredErrors>
    <ignoredError sqref="F20:F26 F7:F15 F18"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9652-5E4D-0048-8311-9D53F376B593}">
  <sheetPr codeName="Sheet35">
    <pageSetUpPr fitToPage="1"/>
  </sheetPr>
  <dimension ref="A1:AC160"/>
  <sheetViews>
    <sheetView zoomScale="110" zoomScaleNormal="110" workbookViewId="0">
      <pane xSplit="5" ySplit="5" topLeftCell="F6" activePane="bottomRight" state="frozen"/>
      <selection activeCell="AX5" sqref="AX5"/>
      <selection pane="topRight" activeCell="AX5" sqref="AX5"/>
      <selection pane="bottomLeft" activeCell="AX5" sqref="AX5"/>
      <selection pane="bottomRight" activeCell="B3" sqref="B3:E3"/>
    </sheetView>
  </sheetViews>
  <sheetFormatPr baseColWidth="10" defaultColWidth="11.5" defaultRowHeight="15"/>
  <cols>
    <col min="1" max="1" width="1.83203125" style="3" customWidth="1"/>
    <col min="2" max="2" width="46.5" bestFit="1" customWidth="1"/>
    <col min="3" max="3" width="33" customWidth="1"/>
    <col min="4" max="4" width="9.5" bestFit="1" customWidth="1"/>
    <col min="5" max="5" width="10.6640625" customWidth="1"/>
    <col min="6" max="6" width="29.6640625" customWidth="1"/>
    <col min="7" max="11" width="25.83203125" customWidth="1"/>
    <col min="12" max="12" width="25.83203125" style="160" customWidth="1"/>
    <col min="13" max="25" width="25.83203125" customWidth="1"/>
    <col min="26" max="26" width="25.83203125" style="160" customWidth="1"/>
    <col min="27" max="29" width="25.83203125" customWidth="1"/>
  </cols>
  <sheetData>
    <row r="1" spans="1:29" s="3" customFormat="1" ht="24" customHeight="1">
      <c r="D1" s="578"/>
      <c r="E1" s="578"/>
      <c r="L1" s="426"/>
      <c r="Z1" s="426"/>
    </row>
    <row r="2" spans="1:29" s="3" customFormat="1" ht="20">
      <c r="A2" s="5"/>
      <c r="B2" s="5"/>
      <c r="C2" s="5"/>
      <c r="D2" s="11"/>
      <c r="E2" s="11"/>
      <c r="F2" s="416"/>
      <c r="G2" s="416"/>
      <c r="H2" s="416"/>
      <c r="I2" s="416"/>
      <c r="J2" s="416"/>
      <c r="K2" s="416"/>
      <c r="L2" s="417"/>
      <c r="M2" s="416"/>
      <c r="N2" s="416"/>
      <c r="O2" s="416"/>
      <c r="P2" s="416"/>
      <c r="Q2" s="416"/>
      <c r="R2" s="416"/>
      <c r="S2" s="416"/>
      <c r="T2" s="416"/>
      <c r="U2" s="416"/>
      <c r="V2" s="416"/>
      <c r="W2" s="416"/>
      <c r="X2" s="416"/>
      <c r="Y2" s="416"/>
      <c r="Z2" s="417"/>
      <c r="AA2" s="416"/>
      <c r="AB2" s="416"/>
      <c r="AC2" s="416"/>
    </row>
    <row r="3" spans="1:29" s="3" customFormat="1" ht="20">
      <c r="A3" s="5"/>
      <c r="B3" s="589" t="s">
        <v>146</v>
      </c>
      <c r="C3" s="589"/>
      <c r="D3" s="589"/>
      <c r="E3" s="589"/>
      <c r="F3" s="418"/>
      <c r="G3" s="418"/>
      <c r="H3" s="418"/>
      <c r="I3" s="418"/>
      <c r="J3" s="418"/>
      <c r="K3" s="418"/>
      <c r="L3" s="418"/>
      <c r="M3" s="418"/>
      <c r="N3" s="418"/>
      <c r="O3" s="418"/>
      <c r="P3" s="418"/>
      <c r="Q3" s="418"/>
      <c r="R3" s="418"/>
      <c r="S3" s="418"/>
      <c r="T3" s="418"/>
      <c r="U3" s="418"/>
      <c r="V3" s="418"/>
      <c r="W3" s="418"/>
      <c r="X3" s="418"/>
      <c r="Y3" s="418"/>
      <c r="Z3" s="418"/>
      <c r="AA3" s="418"/>
      <c r="AB3" s="418"/>
    </row>
    <row r="4" spans="1:29" s="3" customFormat="1" ht="21" customHeight="1">
      <c r="A4" s="229"/>
      <c r="B4" s="586" t="s">
        <v>1</v>
      </c>
      <c r="C4" s="659" t="s">
        <v>103</v>
      </c>
      <c r="D4" s="659" t="s">
        <v>2</v>
      </c>
      <c r="E4" s="659" t="s">
        <v>12</v>
      </c>
      <c r="F4" s="668" t="str">
        <f>'Prices_Yields&amp;SeedInputs'!B5</f>
        <v>SW Winter Wheat after Spring Legume</v>
      </c>
      <c r="G4" s="668" t="str">
        <f>'Prices_Yields&amp;SeedInputs'!B6</f>
        <v>SW Winter Wheat after Forage Crop</v>
      </c>
      <c r="H4" s="661" t="str">
        <f>'Prices_Yields&amp;SeedInputs'!B7</f>
        <v>DN Spring Wheat after Spring Legume</v>
      </c>
      <c r="I4" s="663" t="str">
        <f>'Prices_Yields&amp;SeedInputs'!B8</f>
        <v>DN Spring Wheat after Forage Crop</v>
      </c>
      <c r="J4" s="661" t="str">
        <f>'Prices_Yields&amp;SeedInputs'!B9</f>
        <v>DN Spring Wheat after Winter Crop</v>
      </c>
      <c r="K4" s="661" t="str">
        <f>'Prices_Yields&amp;SeedInputs'!B10</f>
        <v>Chickpea after Forage Crop</v>
      </c>
      <c r="L4" s="663" t="str">
        <f>'Prices_Yields&amp;SeedInputs'!B11</f>
        <v>Chickpea after Cereal</v>
      </c>
      <c r="M4" s="661" t="str">
        <f>'Prices_Yields&amp;SeedInputs'!B12</f>
        <v>Spring Pea after Cereal</v>
      </c>
      <c r="N4" s="661" t="str">
        <f>'Prices_Yields&amp;SeedInputs'!B13</f>
        <v>Forage Crop-St. John Area</v>
      </c>
      <c r="O4" s="661" t="str">
        <f>'Prices_Yields&amp;SeedInputs'!B14</f>
        <v>Forage Crop-Genesee Area</v>
      </c>
      <c r="P4" s="661" t="str">
        <f>'Prices_Yields&amp;SeedInputs'!B15</f>
        <v>Livestock Grazing</v>
      </c>
      <c r="Q4" s="668" t="str">
        <f>'Prices_Yields&amp;SeedInputs'!B16</f>
        <v>SW Winter Wheat after Cereal</v>
      </c>
      <c r="R4" s="668" t="str">
        <f>'Prices_Yields&amp;SeedInputs'!B17</f>
        <v>SW Winter Wheat after Fallow</v>
      </c>
      <c r="S4" s="661" t="str">
        <f>'Prices_Yields&amp;SeedInputs'!B18</f>
        <v>Chem-Fallow</v>
      </c>
      <c r="T4" s="661" t="str">
        <f>'Prices_Yields&amp;SeedInputs'!B19</f>
        <v>Flex-Fallow</v>
      </c>
      <c r="U4" s="661" t="str">
        <f>'Prices_Yields&amp;SeedInputs'!B20</f>
        <v>Spring Barley</v>
      </c>
      <c r="V4" s="661" t="str">
        <f>'Prices_Yields&amp;SeedInputs'!B21</f>
        <v>Roundup Ready Spring Canola</v>
      </c>
      <c r="W4" s="661" t="str">
        <f>'Prices_Yields&amp;SeedInputs'!B22</f>
        <v>Spring Canola</v>
      </c>
      <c r="X4" s="661" t="str">
        <f>'Prices_Yields&amp;SeedInputs'!B23</f>
        <v>Spring Lentils</v>
      </c>
      <c r="Y4" s="661" t="str">
        <f>'Prices_Yields&amp;SeedInputs'!B24</f>
        <v>SW Spring Wheat</v>
      </c>
      <c r="Z4" s="663" t="str">
        <f>'Prices_Yields&amp;SeedInputs'!B25</f>
        <v>HR Winter Wheat</v>
      </c>
      <c r="AA4" s="661" t="str">
        <f>'Prices_Yields&amp;SeedInputs'!B26</f>
        <v>Winter Pea</v>
      </c>
      <c r="AB4" s="661" t="str">
        <f>'Prices_Yields&amp;SeedInputs'!B27</f>
        <v>Winter Canola</v>
      </c>
      <c r="AC4" s="661" t="str">
        <f>'Prices_Yields&amp;SeedInputs'!B28</f>
        <v>Forage Crop-Soil Builder Blend</v>
      </c>
    </row>
    <row r="5" spans="1:29" s="3" customFormat="1" ht="21" customHeight="1">
      <c r="A5" s="138"/>
      <c r="B5" s="666"/>
      <c r="C5" s="660"/>
      <c r="D5" s="667"/>
      <c r="E5" s="667"/>
      <c r="F5" s="669"/>
      <c r="G5" s="669"/>
      <c r="H5" s="662"/>
      <c r="I5" s="664"/>
      <c r="J5" s="662"/>
      <c r="K5" s="662"/>
      <c r="L5" s="664"/>
      <c r="M5" s="662"/>
      <c r="N5" s="662"/>
      <c r="O5" s="662"/>
      <c r="P5" s="662"/>
      <c r="Q5" s="669"/>
      <c r="R5" s="669"/>
      <c r="S5" s="662"/>
      <c r="T5" s="662"/>
      <c r="U5" s="662"/>
      <c r="V5" s="662"/>
      <c r="W5" s="662"/>
      <c r="X5" s="662"/>
      <c r="Y5" s="662"/>
      <c r="Z5" s="664"/>
      <c r="AA5" s="662"/>
      <c r="AB5" s="662"/>
      <c r="AC5" s="662"/>
    </row>
    <row r="6" spans="1:29" s="3" customFormat="1" ht="21" customHeight="1">
      <c r="A6" s="138"/>
      <c r="B6" s="436" t="s">
        <v>311</v>
      </c>
      <c r="C6" s="433" t="str">
        <f>'Farm and Rotation Setup'!B5</f>
        <v>Business As Usual</v>
      </c>
      <c r="D6" s="141" t="s">
        <v>246</v>
      </c>
      <c r="E6" s="137">
        <v>0.48749999999999999</v>
      </c>
      <c r="F6" s="419">
        <v>93</v>
      </c>
      <c r="G6" s="419">
        <v>93</v>
      </c>
      <c r="H6" s="420">
        <v>100</v>
      </c>
      <c r="I6" s="420">
        <v>0</v>
      </c>
      <c r="J6" s="420">
        <v>130</v>
      </c>
      <c r="K6" s="420">
        <v>0</v>
      </c>
      <c r="L6" s="420">
        <v>0</v>
      </c>
      <c r="M6" s="420">
        <v>0</v>
      </c>
      <c r="N6" s="420">
        <v>0</v>
      </c>
      <c r="O6" s="420">
        <v>0</v>
      </c>
      <c r="P6" s="420">
        <v>0</v>
      </c>
      <c r="Q6" s="419">
        <v>93</v>
      </c>
      <c r="R6" s="419">
        <v>93</v>
      </c>
      <c r="S6" s="420">
        <v>0</v>
      </c>
      <c r="T6" s="420">
        <v>0</v>
      </c>
      <c r="U6" s="420">
        <v>80</v>
      </c>
      <c r="V6" s="420">
        <v>90</v>
      </c>
      <c r="W6" s="420">
        <v>90</v>
      </c>
      <c r="X6" s="420">
        <v>0</v>
      </c>
      <c r="Y6" s="420">
        <v>100</v>
      </c>
      <c r="Z6" s="420">
        <v>130</v>
      </c>
      <c r="AA6" s="420">
        <v>0</v>
      </c>
      <c r="AB6" s="421">
        <v>90</v>
      </c>
      <c r="AC6" s="420">
        <v>0</v>
      </c>
    </row>
    <row r="7" spans="1:29" s="401" customFormat="1" ht="21" customHeight="1">
      <c r="A7" s="138"/>
      <c r="B7" s="437"/>
      <c r="C7" s="434" t="str">
        <f>'Farm and Rotation Setup'!B14</f>
        <v>Incremental Rotation</v>
      </c>
      <c r="D7" s="396"/>
      <c r="E7" s="397"/>
      <c r="F7" s="398">
        <v>93</v>
      </c>
      <c r="G7" s="398">
        <v>93</v>
      </c>
      <c r="H7" s="399">
        <v>100</v>
      </c>
      <c r="I7" s="399">
        <v>0</v>
      </c>
      <c r="J7" s="399">
        <v>130</v>
      </c>
      <c r="K7" s="399">
        <v>0</v>
      </c>
      <c r="L7" s="399">
        <v>0</v>
      </c>
      <c r="M7" s="399">
        <v>0</v>
      </c>
      <c r="N7" s="399">
        <v>0</v>
      </c>
      <c r="O7" s="399">
        <v>0</v>
      </c>
      <c r="P7" s="399">
        <v>0</v>
      </c>
      <c r="Q7" s="398">
        <v>93</v>
      </c>
      <c r="R7" s="398">
        <v>93</v>
      </c>
      <c r="S7" s="399">
        <v>0</v>
      </c>
      <c r="T7" s="399">
        <v>0</v>
      </c>
      <c r="U7" s="399">
        <v>80</v>
      </c>
      <c r="V7" s="399">
        <v>90</v>
      </c>
      <c r="W7" s="399">
        <v>90</v>
      </c>
      <c r="X7" s="399">
        <v>0</v>
      </c>
      <c r="Y7" s="399">
        <v>100</v>
      </c>
      <c r="Z7" s="399">
        <v>130</v>
      </c>
      <c r="AA7" s="399">
        <v>0</v>
      </c>
      <c r="AB7" s="400">
        <v>90</v>
      </c>
      <c r="AC7" s="399">
        <v>0</v>
      </c>
    </row>
    <row r="8" spans="1:29" s="407" customFormat="1" ht="21" customHeight="1">
      <c r="A8" s="361"/>
      <c r="B8" s="438"/>
      <c r="C8" s="435" t="str">
        <f>'Farm and Rotation Setup'!B23</f>
        <v>Aspirational Rotation</v>
      </c>
      <c r="D8" s="402"/>
      <c r="E8" s="403"/>
      <c r="F8" s="404">
        <v>93</v>
      </c>
      <c r="G8" s="404">
        <v>93</v>
      </c>
      <c r="H8" s="405">
        <v>100</v>
      </c>
      <c r="I8" s="405">
        <v>0</v>
      </c>
      <c r="J8" s="405">
        <v>130</v>
      </c>
      <c r="K8" s="405">
        <v>0</v>
      </c>
      <c r="L8" s="405">
        <v>0</v>
      </c>
      <c r="M8" s="405">
        <v>0</v>
      </c>
      <c r="N8" s="405">
        <v>0</v>
      </c>
      <c r="O8" s="405">
        <v>0</v>
      </c>
      <c r="P8" s="405">
        <v>0</v>
      </c>
      <c r="Q8" s="404">
        <v>93</v>
      </c>
      <c r="R8" s="404">
        <v>93</v>
      </c>
      <c r="S8" s="405">
        <v>0</v>
      </c>
      <c r="T8" s="405">
        <v>0</v>
      </c>
      <c r="U8" s="405">
        <v>80</v>
      </c>
      <c r="V8" s="405">
        <v>90</v>
      </c>
      <c r="W8" s="405">
        <v>90</v>
      </c>
      <c r="X8" s="405">
        <v>0</v>
      </c>
      <c r="Y8" s="405">
        <v>100</v>
      </c>
      <c r="Z8" s="405">
        <v>130</v>
      </c>
      <c r="AA8" s="405">
        <v>0</v>
      </c>
      <c r="AB8" s="406">
        <v>90</v>
      </c>
      <c r="AC8" s="405">
        <v>0</v>
      </c>
    </row>
    <row r="9" spans="1:29" s="3" customFormat="1" ht="21" customHeight="1">
      <c r="A9" s="138"/>
      <c r="B9" s="5" t="s">
        <v>310</v>
      </c>
      <c r="C9" s="8" t="str">
        <f>'Farm and Rotation Setup'!B5</f>
        <v>Business As Usual</v>
      </c>
      <c r="D9" s="422" t="s">
        <v>246</v>
      </c>
      <c r="E9" s="137">
        <v>0.75770000000000004</v>
      </c>
      <c r="F9" s="419">
        <v>0</v>
      </c>
      <c r="G9" s="419">
        <v>0</v>
      </c>
      <c r="H9" s="420">
        <v>0</v>
      </c>
      <c r="I9" s="420">
        <v>0</v>
      </c>
      <c r="J9" s="420">
        <v>0</v>
      </c>
      <c r="K9" s="420">
        <v>0</v>
      </c>
      <c r="L9" s="420">
        <v>0</v>
      </c>
      <c r="M9" s="420">
        <v>0</v>
      </c>
      <c r="N9" s="420">
        <v>0</v>
      </c>
      <c r="O9" s="420">
        <v>0</v>
      </c>
      <c r="P9" s="420">
        <v>0</v>
      </c>
      <c r="Q9" s="419">
        <v>0</v>
      </c>
      <c r="R9" s="419">
        <v>0</v>
      </c>
      <c r="S9" s="420">
        <v>0</v>
      </c>
      <c r="T9" s="420">
        <v>0</v>
      </c>
      <c r="U9" s="420">
        <v>0</v>
      </c>
      <c r="V9" s="420">
        <v>0</v>
      </c>
      <c r="W9" s="420">
        <v>0</v>
      </c>
      <c r="X9" s="420">
        <v>0</v>
      </c>
      <c r="Y9" s="420">
        <v>0</v>
      </c>
      <c r="Z9" s="420">
        <v>0</v>
      </c>
      <c r="AA9" s="420">
        <v>0</v>
      </c>
      <c r="AB9" s="421">
        <v>0</v>
      </c>
      <c r="AC9" s="420">
        <v>0</v>
      </c>
    </row>
    <row r="10" spans="1:29" s="401" customFormat="1" ht="21" customHeight="1">
      <c r="A10" s="138"/>
      <c r="B10" s="437"/>
      <c r="C10" s="434" t="str">
        <f>'Farm and Rotation Setup'!B14</f>
        <v>Incremental Rotation</v>
      </c>
      <c r="D10" s="396"/>
      <c r="E10" s="397"/>
      <c r="F10" s="398">
        <v>0</v>
      </c>
      <c r="G10" s="398">
        <v>0</v>
      </c>
      <c r="H10" s="399">
        <v>0</v>
      </c>
      <c r="I10" s="399">
        <v>0</v>
      </c>
      <c r="J10" s="399">
        <v>0</v>
      </c>
      <c r="K10" s="399">
        <v>0</v>
      </c>
      <c r="L10" s="399">
        <v>0</v>
      </c>
      <c r="M10" s="399">
        <v>0</v>
      </c>
      <c r="N10" s="399">
        <v>0</v>
      </c>
      <c r="O10" s="399">
        <v>0</v>
      </c>
      <c r="P10" s="399">
        <v>0</v>
      </c>
      <c r="Q10" s="398">
        <v>0</v>
      </c>
      <c r="R10" s="398">
        <v>0</v>
      </c>
      <c r="S10" s="399">
        <v>0</v>
      </c>
      <c r="T10" s="399">
        <v>0</v>
      </c>
      <c r="U10" s="399">
        <v>0</v>
      </c>
      <c r="V10" s="399">
        <v>0</v>
      </c>
      <c r="W10" s="399">
        <v>0</v>
      </c>
      <c r="X10" s="399">
        <v>0</v>
      </c>
      <c r="Y10" s="399">
        <v>0</v>
      </c>
      <c r="Z10" s="399">
        <v>0</v>
      </c>
      <c r="AA10" s="399">
        <v>0</v>
      </c>
      <c r="AB10" s="400">
        <v>0</v>
      </c>
      <c r="AC10" s="399">
        <v>0</v>
      </c>
    </row>
    <row r="11" spans="1:29" s="407" customFormat="1" ht="21" customHeight="1">
      <c r="A11" s="361"/>
      <c r="B11" s="438"/>
      <c r="C11" s="435" t="str">
        <f>'Farm and Rotation Setup'!B23</f>
        <v>Aspirational Rotation</v>
      </c>
      <c r="D11" s="402"/>
      <c r="E11" s="403"/>
      <c r="F11" s="404">
        <v>0</v>
      </c>
      <c r="G11" s="404">
        <v>0</v>
      </c>
      <c r="H11" s="405">
        <v>0</v>
      </c>
      <c r="I11" s="405">
        <v>0</v>
      </c>
      <c r="J11" s="405">
        <v>0</v>
      </c>
      <c r="K11" s="405">
        <v>0</v>
      </c>
      <c r="L11" s="405">
        <v>0</v>
      </c>
      <c r="M11" s="405">
        <v>0</v>
      </c>
      <c r="N11" s="405">
        <v>0</v>
      </c>
      <c r="O11" s="405">
        <v>0</v>
      </c>
      <c r="P11" s="405">
        <v>0</v>
      </c>
      <c r="Q11" s="404">
        <v>0</v>
      </c>
      <c r="R11" s="404">
        <v>0</v>
      </c>
      <c r="S11" s="405">
        <v>0</v>
      </c>
      <c r="T11" s="405">
        <v>0</v>
      </c>
      <c r="U11" s="405">
        <v>0</v>
      </c>
      <c r="V11" s="405">
        <v>0</v>
      </c>
      <c r="W11" s="405">
        <v>0</v>
      </c>
      <c r="X11" s="405">
        <v>0</v>
      </c>
      <c r="Y11" s="405">
        <v>0</v>
      </c>
      <c r="Z11" s="405">
        <v>0</v>
      </c>
      <c r="AA11" s="405">
        <v>0</v>
      </c>
      <c r="AB11" s="406">
        <v>0</v>
      </c>
      <c r="AC11" s="405">
        <v>0</v>
      </c>
    </row>
    <row r="12" spans="1:29" s="3" customFormat="1" ht="21">
      <c r="A12" s="138"/>
      <c r="B12" s="436" t="s">
        <v>309</v>
      </c>
      <c r="C12" s="433" t="str">
        <f>'Farm and Rotation Setup'!B5</f>
        <v>Business As Usual</v>
      </c>
      <c r="D12" s="141" t="s">
        <v>246</v>
      </c>
      <c r="E12" s="137">
        <v>0.47499999999999998</v>
      </c>
      <c r="F12" s="419">
        <v>23</v>
      </c>
      <c r="G12" s="419">
        <v>23</v>
      </c>
      <c r="H12" s="420">
        <v>5</v>
      </c>
      <c r="I12" s="420">
        <v>0</v>
      </c>
      <c r="J12" s="421">
        <v>5</v>
      </c>
      <c r="K12" s="420">
        <v>0</v>
      </c>
      <c r="L12" s="420">
        <v>0</v>
      </c>
      <c r="M12" s="420">
        <v>0</v>
      </c>
      <c r="N12" s="420">
        <v>0</v>
      </c>
      <c r="O12" s="420">
        <v>0</v>
      </c>
      <c r="P12" s="420">
        <v>0</v>
      </c>
      <c r="Q12" s="419">
        <v>23</v>
      </c>
      <c r="R12" s="419">
        <v>23</v>
      </c>
      <c r="S12" s="420">
        <v>0</v>
      </c>
      <c r="T12" s="420">
        <v>0</v>
      </c>
      <c r="U12" s="421">
        <v>5</v>
      </c>
      <c r="V12" s="421">
        <v>8</v>
      </c>
      <c r="W12" s="421">
        <v>8</v>
      </c>
      <c r="X12" s="420">
        <v>0</v>
      </c>
      <c r="Y12" s="420">
        <v>5</v>
      </c>
      <c r="Z12" s="421">
        <v>5</v>
      </c>
      <c r="AA12" s="420">
        <v>0</v>
      </c>
      <c r="AB12" s="421">
        <v>8</v>
      </c>
      <c r="AC12" s="420">
        <v>0</v>
      </c>
    </row>
    <row r="13" spans="1:29" s="401" customFormat="1" ht="21" customHeight="1">
      <c r="A13" s="138"/>
      <c r="B13" s="437"/>
      <c r="C13" s="434" t="str">
        <f>'Farm and Rotation Setup'!B14</f>
        <v>Incremental Rotation</v>
      </c>
      <c r="D13" s="396"/>
      <c r="E13" s="397"/>
      <c r="F13" s="398">
        <v>23</v>
      </c>
      <c r="G13" s="398">
        <v>23</v>
      </c>
      <c r="H13" s="399">
        <v>5</v>
      </c>
      <c r="I13" s="399">
        <v>0</v>
      </c>
      <c r="J13" s="400">
        <v>5</v>
      </c>
      <c r="K13" s="399">
        <v>0</v>
      </c>
      <c r="L13" s="399">
        <v>0</v>
      </c>
      <c r="M13" s="399">
        <v>0</v>
      </c>
      <c r="N13" s="399">
        <v>0</v>
      </c>
      <c r="O13" s="399">
        <v>0</v>
      </c>
      <c r="P13" s="399">
        <v>0</v>
      </c>
      <c r="Q13" s="398">
        <v>23</v>
      </c>
      <c r="R13" s="398">
        <v>23</v>
      </c>
      <c r="S13" s="399">
        <v>0</v>
      </c>
      <c r="T13" s="399">
        <v>0</v>
      </c>
      <c r="U13" s="400">
        <v>5</v>
      </c>
      <c r="V13" s="400">
        <v>8</v>
      </c>
      <c r="W13" s="400">
        <v>8</v>
      </c>
      <c r="X13" s="399">
        <v>0</v>
      </c>
      <c r="Y13" s="399">
        <v>5</v>
      </c>
      <c r="Z13" s="400">
        <v>5</v>
      </c>
      <c r="AA13" s="399">
        <v>0</v>
      </c>
      <c r="AB13" s="400">
        <v>8</v>
      </c>
      <c r="AC13" s="399">
        <v>0</v>
      </c>
    </row>
    <row r="14" spans="1:29" s="407" customFormat="1" ht="21" customHeight="1">
      <c r="A14" s="361"/>
      <c r="B14" s="438"/>
      <c r="C14" s="435" t="str">
        <f>'Farm and Rotation Setup'!B23</f>
        <v>Aspirational Rotation</v>
      </c>
      <c r="D14" s="402"/>
      <c r="E14" s="403"/>
      <c r="F14" s="404">
        <v>23</v>
      </c>
      <c r="G14" s="404">
        <v>23</v>
      </c>
      <c r="H14" s="405">
        <v>5</v>
      </c>
      <c r="I14" s="405">
        <v>0</v>
      </c>
      <c r="J14" s="406">
        <v>5</v>
      </c>
      <c r="K14" s="405">
        <v>0</v>
      </c>
      <c r="L14" s="405">
        <v>0</v>
      </c>
      <c r="M14" s="405">
        <v>0</v>
      </c>
      <c r="N14" s="405">
        <v>0</v>
      </c>
      <c r="O14" s="405">
        <v>0</v>
      </c>
      <c r="P14" s="405">
        <v>0</v>
      </c>
      <c r="Q14" s="404">
        <v>23</v>
      </c>
      <c r="R14" s="404">
        <v>23</v>
      </c>
      <c r="S14" s="405">
        <v>0</v>
      </c>
      <c r="T14" s="405">
        <v>0</v>
      </c>
      <c r="U14" s="406">
        <v>5</v>
      </c>
      <c r="V14" s="406">
        <v>8</v>
      </c>
      <c r="W14" s="406">
        <v>8</v>
      </c>
      <c r="X14" s="405">
        <v>0</v>
      </c>
      <c r="Y14" s="405">
        <v>5</v>
      </c>
      <c r="Z14" s="406">
        <v>5</v>
      </c>
      <c r="AA14" s="405">
        <v>0</v>
      </c>
      <c r="AB14" s="406">
        <v>8</v>
      </c>
      <c r="AC14" s="405">
        <v>0</v>
      </c>
    </row>
    <row r="15" spans="1:29" ht="21">
      <c r="A15" s="138"/>
      <c r="B15" s="78" t="s">
        <v>312</v>
      </c>
      <c r="C15" s="80" t="str">
        <f>'Farm and Rotation Setup'!B5</f>
        <v>Business As Usual</v>
      </c>
      <c r="D15" s="422" t="s">
        <v>246</v>
      </c>
      <c r="E15" s="64">
        <v>0.441</v>
      </c>
      <c r="F15" s="184">
        <v>30</v>
      </c>
      <c r="G15" s="184">
        <v>30</v>
      </c>
      <c r="H15" s="121">
        <v>0</v>
      </c>
      <c r="I15" s="121">
        <v>0</v>
      </c>
      <c r="J15" s="169">
        <v>0</v>
      </c>
      <c r="K15" s="121">
        <v>0</v>
      </c>
      <c r="L15" s="121">
        <v>0</v>
      </c>
      <c r="M15" s="121">
        <v>0</v>
      </c>
      <c r="N15" s="121">
        <v>0</v>
      </c>
      <c r="O15" s="121">
        <v>0</v>
      </c>
      <c r="P15" s="121">
        <v>0</v>
      </c>
      <c r="Q15" s="184">
        <v>30</v>
      </c>
      <c r="R15" s="184">
        <v>30</v>
      </c>
      <c r="S15" s="121">
        <v>0</v>
      </c>
      <c r="T15" s="121">
        <v>0</v>
      </c>
      <c r="U15" s="169">
        <v>0</v>
      </c>
      <c r="V15" s="121">
        <v>0</v>
      </c>
      <c r="W15" s="121">
        <v>0</v>
      </c>
      <c r="X15" s="121">
        <v>0</v>
      </c>
      <c r="Y15" s="121">
        <v>0</v>
      </c>
      <c r="Z15" s="169">
        <v>0</v>
      </c>
      <c r="AA15" s="121">
        <v>0</v>
      </c>
      <c r="AB15" s="169">
        <v>0</v>
      </c>
      <c r="AC15" s="121">
        <v>0</v>
      </c>
    </row>
    <row r="16" spans="1:29" s="401" customFormat="1" ht="21" customHeight="1">
      <c r="A16" s="138"/>
      <c r="B16" s="437"/>
      <c r="C16" s="434" t="str">
        <f>'Farm and Rotation Setup'!B14</f>
        <v>Incremental Rotation</v>
      </c>
      <c r="D16" s="396"/>
      <c r="E16" s="397"/>
      <c r="F16" s="398">
        <v>30</v>
      </c>
      <c r="G16" s="398">
        <v>30</v>
      </c>
      <c r="H16" s="399">
        <v>0</v>
      </c>
      <c r="I16" s="399">
        <v>0</v>
      </c>
      <c r="J16" s="400">
        <v>0</v>
      </c>
      <c r="K16" s="399">
        <v>0</v>
      </c>
      <c r="L16" s="399">
        <v>0</v>
      </c>
      <c r="M16" s="399">
        <v>0</v>
      </c>
      <c r="N16" s="399">
        <v>0</v>
      </c>
      <c r="O16" s="399">
        <v>0</v>
      </c>
      <c r="P16" s="399">
        <v>0</v>
      </c>
      <c r="Q16" s="398">
        <v>30</v>
      </c>
      <c r="R16" s="398">
        <v>30</v>
      </c>
      <c r="S16" s="399">
        <v>0</v>
      </c>
      <c r="T16" s="399">
        <v>0</v>
      </c>
      <c r="U16" s="400">
        <v>0</v>
      </c>
      <c r="V16" s="399">
        <v>0</v>
      </c>
      <c r="W16" s="399">
        <v>0</v>
      </c>
      <c r="X16" s="399">
        <v>0</v>
      </c>
      <c r="Y16" s="399">
        <v>0</v>
      </c>
      <c r="Z16" s="400">
        <v>0</v>
      </c>
      <c r="AA16" s="399">
        <v>0</v>
      </c>
      <c r="AB16" s="400">
        <v>0</v>
      </c>
      <c r="AC16" s="399">
        <v>0</v>
      </c>
    </row>
    <row r="17" spans="1:29" s="407" customFormat="1" ht="21" customHeight="1">
      <c r="A17" s="361"/>
      <c r="B17" s="438"/>
      <c r="C17" s="435" t="str">
        <f>'Farm and Rotation Setup'!B23</f>
        <v>Aspirational Rotation</v>
      </c>
      <c r="D17" s="402"/>
      <c r="E17" s="403"/>
      <c r="F17" s="404">
        <v>30</v>
      </c>
      <c r="G17" s="404">
        <v>30</v>
      </c>
      <c r="H17" s="405">
        <v>0</v>
      </c>
      <c r="I17" s="405">
        <v>0</v>
      </c>
      <c r="J17" s="406">
        <v>0</v>
      </c>
      <c r="K17" s="405">
        <v>0</v>
      </c>
      <c r="L17" s="405">
        <v>0</v>
      </c>
      <c r="M17" s="405">
        <v>0</v>
      </c>
      <c r="N17" s="405">
        <v>0</v>
      </c>
      <c r="O17" s="405">
        <v>0</v>
      </c>
      <c r="P17" s="405">
        <v>0</v>
      </c>
      <c r="Q17" s="404">
        <v>30</v>
      </c>
      <c r="R17" s="404">
        <v>30</v>
      </c>
      <c r="S17" s="405">
        <v>0</v>
      </c>
      <c r="T17" s="405">
        <v>0</v>
      </c>
      <c r="U17" s="406">
        <v>0</v>
      </c>
      <c r="V17" s="405">
        <v>0</v>
      </c>
      <c r="W17" s="405">
        <v>0</v>
      </c>
      <c r="X17" s="405">
        <v>0</v>
      </c>
      <c r="Y17" s="405">
        <v>0</v>
      </c>
      <c r="Z17" s="406">
        <v>0</v>
      </c>
      <c r="AA17" s="405">
        <v>0</v>
      </c>
      <c r="AB17" s="406">
        <v>0</v>
      </c>
      <c r="AC17" s="405">
        <v>0</v>
      </c>
    </row>
    <row r="18" spans="1:29" ht="21">
      <c r="A18" s="138"/>
      <c r="B18" s="78" t="s">
        <v>313</v>
      </c>
      <c r="C18" s="80" t="str">
        <f>'Farm and Rotation Setup'!B5</f>
        <v>Business As Usual</v>
      </c>
      <c r="D18" s="422" t="s">
        <v>246</v>
      </c>
      <c r="E18" s="64">
        <v>0.2555</v>
      </c>
      <c r="F18" s="184">
        <v>9</v>
      </c>
      <c r="G18" s="184">
        <v>9</v>
      </c>
      <c r="H18" s="121">
        <v>20</v>
      </c>
      <c r="I18" s="121">
        <v>0</v>
      </c>
      <c r="J18" s="121">
        <v>25</v>
      </c>
      <c r="K18" s="121">
        <v>0</v>
      </c>
      <c r="L18" s="121">
        <v>0</v>
      </c>
      <c r="M18" s="121">
        <v>0</v>
      </c>
      <c r="N18" s="121">
        <v>0</v>
      </c>
      <c r="O18" s="121">
        <v>0</v>
      </c>
      <c r="P18" s="121">
        <v>0</v>
      </c>
      <c r="Q18" s="184">
        <v>9</v>
      </c>
      <c r="R18" s="184">
        <v>9</v>
      </c>
      <c r="S18" s="121">
        <v>0</v>
      </c>
      <c r="T18" s="121">
        <v>0</v>
      </c>
      <c r="U18" s="121">
        <v>15</v>
      </c>
      <c r="V18" s="121">
        <v>17</v>
      </c>
      <c r="W18" s="121">
        <v>17</v>
      </c>
      <c r="X18" s="121">
        <v>0</v>
      </c>
      <c r="Y18" s="121">
        <v>20</v>
      </c>
      <c r="Z18" s="121">
        <v>25</v>
      </c>
      <c r="AA18" s="121">
        <v>0</v>
      </c>
      <c r="AB18" s="169">
        <v>17</v>
      </c>
      <c r="AC18" s="121">
        <v>0</v>
      </c>
    </row>
    <row r="19" spans="1:29" s="401" customFormat="1" ht="21" customHeight="1">
      <c r="A19" s="138"/>
      <c r="B19" s="437"/>
      <c r="C19" s="434" t="str">
        <f>'Farm and Rotation Setup'!B14</f>
        <v>Incremental Rotation</v>
      </c>
      <c r="D19" s="396"/>
      <c r="E19" s="397"/>
      <c r="F19" s="398">
        <v>9</v>
      </c>
      <c r="G19" s="398">
        <v>9</v>
      </c>
      <c r="H19" s="399">
        <v>20</v>
      </c>
      <c r="I19" s="399">
        <v>0</v>
      </c>
      <c r="J19" s="399">
        <v>25</v>
      </c>
      <c r="K19" s="399">
        <v>0</v>
      </c>
      <c r="L19" s="399">
        <v>0</v>
      </c>
      <c r="M19" s="399">
        <v>0</v>
      </c>
      <c r="N19" s="399">
        <v>0</v>
      </c>
      <c r="O19" s="399">
        <v>0</v>
      </c>
      <c r="P19" s="399">
        <v>0</v>
      </c>
      <c r="Q19" s="398">
        <v>9</v>
      </c>
      <c r="R19" s="398">
        <v>9</v>
      </c>
      <c r="S19" s="399">
        <v>0</v>
      </c>
      <c r="T19" s="399">
        <v>0</v>
      </c>
      <c r="U19" s="399">
        <v>15</v>
      </c>
      <c r="V19" s="399">
        <v>17</v>
      </c>
      <c r="W19" s="399">
        <v>17</v>
      </c>
      <c r="X19" s="399">
        <v>0</v>
      </c>
      <c r="Y19" s="399">
        <v>20</v>
      </c>
      <c r="Z19" s="399">
        <v>25</v>
      </c>
      <c r="AA19" s="399">
        <v>0</v>
      </c>
      <c r="AB19" s="400">
        <v>17</v>
      </c>
      <c r="AC19" s="399">
        <v>0</v>
      </c>
    </row>
    <row r="20" spans="1:29" s="407" customFormat="1" ht="21" customHeight="1">
      <c r="A20" s="361"/>
      <c r="B20" s="438"/>
      <c r="C20" s="435" t="str">
        <f>'Farm and Rotation Setup'!B23</f>
        <v>Aspirational Rotation</v>
      </c>
      <c r="D20" s="402"/>
      <c r="E20" s="403"/>
      <c r="F20" s="404">
        <v>9</v>
      </c>
      <c r="G20" s="404">
        <v>9</v>
      </c>
      <c r="H20" s="405">
        <v>20</v>
      </c>
      <c r="I20" s="405">
        <v>0</v>
      </c>
      <c r="J20" s="405">
        <v>25</v>
      </c>
      <c r="K20" s="405">
        <v>0</v>
      </c>
      <c r="L20" s="405">
        <v>0</v>
      </c>
      <c r="M20" s="405">
        <v>0</v>
      </c>
      <c r="N20" s="405">
        <v>0</v>
      </c>
      <c r="O20" s="405">
        <v>0</v>
      </c>
      <c r="P20" s="405">
        <v>0</v>
      </c>
      <c r="Q20" s="404">
        <v>9</v>
      </c>
      <c r="R20" s="404">
        <v>9</v>
      </c>
      <c r="S20" s="405">
        <v>0</v>
      </c>
      <c r="T20" s="405">
        <v>0</v>
      </c>
      <c r="U20" s="405">
        <v>15</v>
      </c>
      <c r="V20" s="405">
        <v>17</v>
      </c>
      <c r="W20" s="405">
        <v>17</v>
      </c>
      <c r="X20" s="405">
        <v>0</v>
      </c>
      <c r="Y20" s="405">
        <v>20</v>
      </c>
      <c r="Z20" s="405">
        <v>25</v>
      </c>
      <c r="AA20" s="405">
        <v>0</v>
      </c>
      <c r="AB20" s="406">
        <v>17</v>
      </c>
      <c r="AC20" s="405">
        <v>0</v>
      </c>
    </row>
    <row r="21" spans="1:29" ht="21">
      <c r="A21" s="137"/>
      <c r="B21" s="2" t="s">
        <v>314</v>
      </c>
      <c r="C21" s="270" t="str">
        <f>'Farm and Rotation Setup'!B5</f>
        <v>Business As Usual</v>
      </c>
      <c r="D21" s="422" t="s">
        <v>246</v>
      </c>
      <c r="E21" s="64">
        <v>0.48</v>
      </c>
      <c r="F21" s="184">
        <v>3.4</v>
      </c>
      <c r="G21" s="184">
        <v>3.4</v>
      </c>
      <c r="H21" s="121">
        <v>3.4</v>
      </c>
      <c r="I21" s="121">
        <v>0</v>
      </c>
      <c r="J21" s="121">
        <v>1.7</v>
      </c>
      <c r="K21" s="121">
        <v>1.7</v>
      </c>
      <c r="L21" s="169">
        <v>3.4</v>
      </c>
      <c r="M21" s="121">
        <v>1.7</v>
      </c>
      <c r="N21" s="121">
        <v>0</v>
      </c>
      <c r="O21" s="121">
        <v>0</v>
      </c>
      <c r="P21" s="121">
        <v>0</v>
      </c>
      <c r="Q21" s="184">
        <v>3.4</v>
      </c>
      <c r="R21" s="184">
        <v>3.4</v>
      </c>
      <c r="S21" s="121">
        <v>1.7</v>
      </c>
      <c r="T21" s="121">
        <v>1.7</v>
      </c>
      <c r="U21" s="121">
        <v>1.7</v>
      </c>
      <c r="V21" s="121">
        <v>5.0999999999999996</v>
      </c>
      <c r="W21" s="121">
        <v>5.0999999999999996</v>
      </c>
      <c r="X21" s="121">
        <v>3.4</v>
      </c>
      <c r="Y21" s="121">
        <v>3.4</v>
      </c>
      <c r="Z21" s="121">
        <v>1.7</v>
      </c>
      <c r="AA21" s="121">
        <v>1.7</v>
      </c>
      <c r="AB21" s="169">
        <v>5.0999999999999996</v>
      </c>
      <c r="AC21" s="121">
        <v>0</v>
      </c>
    </row>
    <row r="22" spans="1:29" s="401" customFormat="1" ht="21" customHeight="1">
      <c r="A22" s="138"/>
      <c r="B22" s="437"/>
      <c r="C22" s="434" t="str">
        <f>'Farm and Rotation Setup'!B14</f>
        <v>Incremental Rotation</v>
      </c>
      <c r="D22" s="396"/>
      <c r="E22" s="397"/>
      <c r="F22" s="398">
        <v>3.4</v>
      </c>
      <c r="G22" s="398">
        <v>3.4</v>
      </c>
      <c r="H22" s="399">
        <v>3.4</v>
      </c>
      <c r="I22" s="399">
        <v>0</v>
      </c>
      <c r="J22" s="399">
        <v>1.7</v>
      </c>
      <c r="K22" s="399">
        <v>1.7</v>
      </c>
      <c r="L22" s="400">
        <v>3.4</v>
      </c>
      <c r="M22" s="399">
        <v>1.7</v>
      </c>
      <c r="N22" s="399">
        <v>0</v>
      </c>
      <c r="O22" s="399">
        <v>0</v>
      </c>
      <c r="P22" s="399">
        <v>0</v>
      </c>
      <c r="Q22" s="398">
        <v>3.4</v>
      </c>
      <c r="R22" s="398">
        <v>3.4</v>
      </c>
      <c r="S22" s="399">
        <v>1.7</v>
      </c>
      <c r="T22" s="399">
        <v>1.7</v>
      </c>
      <c r="U22" s="399">
        <v>1.7</v>
      </c>
      <c r="V22" s="399">
        <v>5.0999999999999996</v>
      </c>
      <c r="W22" s="399">
        <v>5.0999999999999996</v>
      </c>
      <c r="X22" s="399">
        <v>3.4</v>
      </c>
      <c r="Y22" s="399">
        <v>3.4</v>
      </c>
      <c r="Z22" s="399">
        <v>1.7</v>
      </c>
      <c r="AA22" s="399">
        <v>1.7</v>
      </c>
      <c r="AB22" s="400">
        <v>5.0999999999999996</v>
      </c>
      <c r="AC22" s="399">
        <v>0</v>
      </c>
    </row>
    <row r="23" spans="1:29" s="407" customFormat="1" ht="21" customHeight="1">
      <c r="A23" s="361"/>
      <c r="B23" s="438"/>
      <c r="C23" s="435" t="str">
        <f>'Farm and Rotation Setup'!B23</f>
        <v>Aspirational Rotation</v>
      </c>
      <c r="D23" s="402"/>
      <c r="E23" s="403"/>
      <c r="F23" s="404">
        <v>3.4</v>
      </c>
      <c r="G23" s="404">
        <v>3.4</v>
      </c>
      <c r="H23" s="405">
        <v>3.4</v>
      </c>
      <c r="I23" s="405">
        <v>0</v>
      </c>
      <c r="J23" s="405">
        <v>1.7</v>
      </c>
      <c r="K23" s="405">
        <v>1.7</v>
      </c>
      <c r="L23" s="406">
        <v>3.4</v>
      </c>
      <c r="M23" s="405">
        <v>1.7</v>
      </c>
      <c r="N23" s="405">
        <v>0</v>
      </c>
      <c r="O23" s="405">
        <v>0</v>
      </c>
      <c r="P23" s="405">
        <v>0</v>
      </c>
      <c r="Q23" s="404">
        <v>3.4</v>
      </c>
      <c r="R23" s="404">
        <v>3.4</v>
      </c>
      <c r="S23" s="405">
        <v>1.7</v>
      </c>
      <c r="T23" s="405">
        <v>1.7</v>
      </c>
      <c r="U23" s="405">
        <v>1.7</v>
      </c>
      <c r="V23" s="405">
        <v>5.0999999999999996</v>
      </c>
      <c r="W23" s="405">
        <v>5.0999999999999996</v>
      </c>
      <c r="X23" s="405">
        <v>3.4</v>
      </c>
      <c r="Y23" s="405">
        <v>3.4</v>
      </c>
      <c r="Z23" s="405">
        <v>1.7</v>
      </c>
      <c r="AA23" s="405">
        <v>1.7</v>
      </c>
      <c r="AB23" s="406">
        <v>5.0999999999999996</v>
      </c>
      <c r="AC23" s="405">
        <v>0</v>
      </c>
    </row>
    <row r="24" spans="1:29" ht="21">
      <c r="A24" s="137"/>
      <c r="B24" s="2" t="s">
        <v>315</v>
      </c>
      <c r="C24" s="270" t="str">
        <f>'Farm and Rotation Setup'!B5</f>
        <v>Business As Usual</v>
      </c>
      <c r="D24" s="422" t="s">
        <v>246</v>
      </c>
      <c r="E24" s="64">
        <v>0.71</v>
      </c>
      <c r="F24" s="184">
        <v>0</v>
      </c>
      <c r="G24" s="184">
        <v>0</v>
      </c>
      <c r="H24" s="121">
        <v>0</v>
      </c>
      <c r="I24" s="121">
        <v>0</v>
      </c>
      <c r="J24" s="121">
        <v>0</v>
      </c>
      <c r="K24" s="121">
        <v>0</v>
      </c>
      <c r="L24" s="121">
        <v>0</v>
      </c>
      <c r="M24" s="121">
        <v>0</v>
      </c>
      <c r="N24" s="121">
        <v>0</v>
      </c>
      <c r="O24" s="121">
        <v>0</v>
      </c>
      <c r="P24" s="121">
        <v>0</v>
      </c>
      <c r="Q24" s="184">
        <v>0</v>
      </c>
      <c r="R24" s="184">
        <v>0</v>
      </c>
      <c r="S24" s="121">
        <v>0</v>
      </c>
      <c r="T24" s="121">
        <v>0</v>
      </c>
      <c r="U24" s="121">
        <v>0</v>
      </c>
      <c r="V24" s="121">
        <v>0</v>
      </c>
      <c r="W24" s="121">
        <v>0</v>
      </c>
      <c r="X24" s="121">
        <v>0</v>
      </c>
      <c r="Y24" s="121">
        <v>0</v>
      </c>
      <c r="Z24" s="121">
        <v>0</v>
      </c>
      <c r="AA24" s="121">
        <v>0</v>
      </c>
      <c r="AB24" s="169">
        <v>0</v>
      </c>
      <c r="AC24" s="121">
        <v>0</v>
      </c>
    </row>
    <row r="25" spans="1:29" s="401" customFormat="1" ht="21" customHeight="1">
      <c r="A25" s="138"/>
      <c r="B25" s="437"/>
      <c r="C25" s="434" t="str">
        <f>'Farm and Rotation Setup'!B14</f>
        <v>Incremental Rotation</v>
      </c>
      <c r="D25" s="396"/>
      <c r="E25" s="397"/>
      <c r="F25" s="398">
        <v>0</v>
      </c>
      <c r="G25" s="398">
        <v>0</v>
      </c>
      <c r="H25" s="399">
        <v>0</v>
      </c>
      <c r="I25" s="399">
        <v>0</v>
      </c>
      <c r="J25" s="399">
        <v>0</v>
      </c>
      <c r="K25" s="399">
        <v>0</v>
      </c>
      <c r="L25" s="399">
        <v>0</v>
      </c>
      <c r="M25" s="399">
        <v>0</v>
      </c>
      <c r="N25" s="399">
        <v>0</v>
      </c>
      <c r="O25" s="399">
        <v>0</v>
      </c>
      <c r="P25" s="399">
        <v>0</v>
      </c>
      <c r="Q25" s="398">
        <v>0</v>
      </c>
      <c r="R25" s="398">
        <v>0</v>
      </c>
      <c r="S25" s="399">
        <v>0</v>
      </c>
      <c r="T25" s="399">
        <v>0</v>
      </c>
      <c r="U25" s="399">
        <v>0</v>
      </c>
      <c r="V25" s="399">
        <v>0</v>
      </c>
      <c r="W25" s="399">
        <v>0</v>
      </c>
      <c r="X25" s="399">
        <v>0</v>
      </c>
      <c r="Y25" s="399">
        <v>0</v>
      </c>
      <c r="Z25" s="399">
        <v>0</v>
      </c>
      <c r="AA25" s="399">
        <v>0</v>
      </c>
      <c r="AB25" s="400">
        <v>0</v>
      </c>
      <c r="AC25" s="399">
        <v>0</v>
      </c>
    </row>
    <row r="26" spans="1:29" s="407" customFormat="1" ht="21" customHeight="1">
      <c r="A26" s="361"/>
      <c r="B26" s="438"/>
      <c r="C26" s="435" t="str">
        <f>'Farm and Rotation Setup'!B23</f>
        <v>Aspirational Rotation</v>
      </c>
      <c r="D26" s="402"/>
      <c r="E26" s="403"/>
      <c r="F26" s="404">
        <v>0</v>
      </c>
      <c r="G26" s="404">
        <v>0</v>
      </c>
      <c r="H26" s="405">
        <v>0</v>
      </c>
      <c r="I26" s="405">
        <v>0</v>
      </c>
      <c r="J26" s="405">
        <v>0</v>
      </c>
      <c r="K26" s="405">
        <v>0</v>
      </c>
      <c r="L26" s="405">
        <v>0</v>
      </c>
      <c r="M26" s="405">
        <v>0</v>
      </c>
      <c r="N26" s="405">
        <v>0</v>
      </c>
      <c r="O26" s="405">
        <v>0</v>
      </c>
      <c r="P26" s="405">
        <v>0</v>
      </c>
      <c r="Q26" s="404">
        <v>0</v>
      </c>
      <c r="R26" s="404">
        <v>0</v>
      </c>
      <c r="S26" s="405">
        <v>0</v>
      </c>
      <c r="T26" s="405">
        <v>0</v>
      </c>
      <c r="U26" s="405">
        <v>0</v>
      </c>
      <c r="V26" s="405">
        <v>0</v>
      </c>
      <c r="W26" s="405">
        <v>0</v>
      </c>
      <c r="X26" s="405">
        <v>0</v>
      </c>
      <c r="Y26" s="405">
        <v>0</v>
      </c>
      <c r="Z26" s="405">
        <v>0</v>
      </c>
      <c r="AA26" s="405">
        <v>0</v>
      </c>
      <c r="AB26" s="406">
        <v>0</v>
      </c>
      <c r="AC26" s="405">
        <v>0</v>
      </c>
    </row>
    <row r="27" spans="1:29" ht="21">
      <c r="A27" s="137"/>
      <c r="B27" s="269" t="s">
        <v>316</v>
      </c>
      <c r="C27" s="335" t="s">
        <v>318</v>
      </c>
      <c r="D27" s="334" t="s">
        <v>269</v>
      </c>
      <c r="E27" s="64">
        <v>1.6559999999999999</v>
      </c>
      <c r="F27" s="184">
        <v>0</v>
      </c>
      <c r="G27" s="184">
        <v>0</v>
      </c>
      <c r="H27" s="121">
        <v>0</v>
      </c>
      <c r="I27" s="121">
        <v>0</v>
      </c>
      <c r="J27" s="121">
        <v>0</v>
      </c>
      <c r="K27" s="121">
        <v>0</v>
      </c>
      <c r="L27" s="121">
        <v>0</v>
      </c>
      <c r="M27" s="121">
        <v>0</v>
      </c>
      <c r="N27" s="121">
        <v>0</v>
      </c>
      <c r="O27" s="121">
        <v>0</v>
      </c>
      <c r="P27" s="121">
        <v>0</v>
      </c>
      <c r="Q27" s="184">
        <v>0</v>
      </c>
      <c r="R27" s="184">
        <v>0</v>
      </c>
      <c r="S27" s="121">
        <v>0</v>
      </c>
      <c r="T27" s="121">
        <v>0</v>
      </c>
      <c r="U27" s="121">
        <v>0</v>
      </c>
      <c r="V27" s="121">
        <v>0</v>
      </c>
      <c r="W27" s="121">
        <v>0</v>
      </c>
      <c r="X27" s="121">
        <v>0</v>
      </c>
      <c r="Y27" s="121">
        <v>0</v>
      </c>
      <c r="Z27" s="121">
        <v>0</v>
      </c>
      <c r="AA27" s="121">
        <v>0</v>
      </c>
      <c r="AB27" s="169">
        <v>0</v>
      </c>
      <c r="AC27" s="121">
        <v>0</v>
      </c>
    </row>
    <row r="28" spans="1:29" ht="21">
      <c r="A28" s="137"/>
      <c r="B28" s="269" t="str">
        <f>B27</f>
        <v>Adjuvant-</v>
      </c>
      <c r="C28" s="335" t="s">
        <v>319</v>
      </c>
      <c r="D28" s="334" t="s">
        <v>66</v>
      </c>
      <c r="E28" s="64">
        <v>0.35649999999999998</v>
      </c>
      <c r="F28" s="184">
        <v>0</v>
      </c>
      <c r="G28" s="184">
        <v>0</v>
      </c>
      <c r="H28" s="121">
        <v>0</v>
      </c>
      <c r="I28" s="121">
        <v>0</v>
      </c>
      <c r="J28" s="121">
        <v>0</v>
      </c>
      <c r="K28" s="121">
        <v>0</v>
      </c>
      <c r="L28" s="121">
        <v>0</v>
      </c>
      <c r="M28" s="121">
        <v>0</v>
      </c>
      <c r="N28" s="121">
        <v>0</v>
      </c>
      <c r="O28" s="121">
        <v>0</v>
      </c>
      <c r="P28" s="121">
        <v>0</v>
      </c>
      <c r="Q28" s="184">
        <v>0</v>
      </c>
      <c r="R28" s="184">
        <v>0</v>
      </c>
      <c r="S28" s="121">
        <v>0</v>
      </c>
      <c r="T28" s="121">
        <v>0</v>
      </c>
      <c r="U28" s="121">
        <v>0</v>
      </c>
      <c r="V28" s="121">
        <v>0</v>
      </c>
      <c r="W28" s="121">
        <v>0</v>
      </c>
      <c r="X28" s="121">
        <v>0</v>
      </c>
      <c r="Y28" s="121">
        <v>0</v>
      </c>
      <c r="Z28" s="121">
        <v>0</v>
      </c>
      <c r="AA28" s="121">
        <v>0</v>
      </c>
      <c r="AB28" s="169">
        <v>0</v>
      </c>
      <c r="AC28" s="121">
        <v>0</v>
      </c>
    </row>
    <row r="29" spans="1:29" ht="21">
      <c r="A29" s="137"/>
      <c r="B29" s="269" t="str">
        <f t="shared" ref="B29:B31" si="0">B28</f>
        <v>Adjuvant-</v>
      </c>
      <c r="C29" s="335" t="s">
        <v>320</v>
      </c>
      <c r="D29" s="334" t="s">
        <v>66</v>
      </c>
      <c r="E29" s="64">
        <v>0.253</v>
      </c>
      <c r="F29" s="184">
        <v>3</v>
      </c>
      <c r="G29" s="184">
        <v>3</v>
      </c>
      <c r="H29" s="121">
        <v>3</v>
      </c>
      <c r="I29" s="121">
        <v>0</v>
      </c>
      <c r="J29" s="121">
        <v>3</v>
      </c>
      <c r="K29" s="121">
        <v>1.5</v>
      </c>
      <c r="L29" s="121">
        <v>3</v>
      </c>
      <c r="M29" s="121">
        <v>1.5</v>
      </c>
      <c r="N29" s="121">
        <v>0</v>
      </c>
      <c r="O29" s="121">
        <v>0</v>
      </c>
      <c r="P29" s="121">
        <v>0</v>
      </c>
      <c r="Q29" s="184">
        <v>3</v>
      </c>
      <c r="R29" s="184">
        <v>3</v>
      </c>
      <c r="S29" s="121">
        <v>1.5</v>
      </c>
      <c r="T29" s="121">
        <v>1.5</v>
      </c>
      <c r="U29" s="121">
        <v>4.5</v>
      </c>
      <c r="V29" s="121">
        <v>0</v>
      </c>
      <c r="W29" s="121">
        <v>0</v>
      </c>
      <c r="X29" s="121">
        <v>3</v>
      </c>
      <c r="Y29" s="121">
        <v>3</v>
      </c>
      <c r="Z29" s="121">
        <v>3</v>
      </c>
      <c r="AA29" s="121">
        <v>1.5</v>
      </c>
      <c r="AB29" s="169">
        <v>0</v>
      </c>
      <c r="AC29" s="121">
        <v>0</v>
      </c>
    </row>
    <row r="30" spans="1:29" ht="21">
      <c r="A30" s="137"/>
      <c r="B30" s="269" t="str">
        <f t="shared" si="0"/>
        <v>Adjuvant-</v>
      </c>
      <c r="C30" s="335" t="s">
        <v>321</v>
      </c>
      <c r="D30" s="334" t="s">
        <v>66</v>
      </c>
      <c r="E30" s="64">
        <v>0.26450000000000001</v>
      </c>
      <c r="F30" s="184">
        <v>0</v>
      </c>
      <c r="G30" s="184">
        <v>0</v>
      </c>
      <c r="H30" s="121">
        <v>0</v>
      </c>
      <c r="I30" s="121">
        <v>0</v>
      </c>
      <c r="J30" s="121">
        <v>0</v>
      </c>
      <c r="K30" s="121">
        <v>0</v>
      </c>
      <c r="L30" s="121">
        <v>0</v>
      </c>
      <c r="M30" s="121">
        <v>0</v>
      </c>
      <c r="N30" s="121">
        <v>0</v>
      </c>
      <c r="O30" s="121">
        <v>0</v>
      </c>
      <c r="P30" s="121">
        <v>0</v>
      </c>
      <c r="Q30" s="184">
        <v>0</v>
      </c>
      <c r="R30" s="184">
        <v>0</v>
      </c>
      <c r="S30" s="121">
        <v>0</v>
      </c>
      <c r="T30" s="121">
        <v>0</v>
      </c>
      <c r="U30" s="121">
        <v>0</v>
      </c>
      <c r="V30" s="121">
        <v>4.5</v>
      </c>
      <c r="W30" s="121">
        <v>4.5</v>
      </c>
      <c r="X30" s="121">
        <v>0</v>
      </c>
      <c r="Y30" s="121">
        <v>0</v>
      </c>
      <c r="Z30" s="121">
        <v>0</v>
      </c>
      <c r="AA30" s="121">
        <v>0</v>
      </c>
      <c r="AB30" s="169">
        <v>4.5</v>
      </c>
      <c r="AC30" s="121">
        <v>6.4</v>
      </c>
    </row>
    <row r="31" spans="1:29" ht="21">
      <c r="A31" s="137"/>
      <c r="B31" s="269" t="str">
        <f t="shared" si="0"/>
        <v>Adjuvant-</v>
      </c>
      <c r="C31" s="64" t="s">
        <v>322</v>
      </c>
      <c r="D31" s="334" t="s">
        <v>269</v>
      </c>
      <c r="E31" s="64">
        <v>7.1874999999999991</v>
      </c>
      <c r="F31" s="184">
        <v>0</v>
      </c>
      <c r="G31" s="184">
        <v>0</v>
      </c>
      <c r="H31" s="121">
        <v>0</v>
      </c>
      <c r="I31" s="121">
        <v>0</v>
      </c>
      <c r="J31" s="121">
        <v>0</v>
      </c>
      <c r="K31" s="121">
        <v>0</v>
      </c>
      <c r="L31" s="169">
        <v>0</v>
      </c>
      <c r="M31" s="121">
        <v>0</v>
      </c>
      <c r="N31" s="121">
        <v>0</v>
      </c>
      <c r="O31" s="121">
        <v>0</v>
      </c>
      <c r="P31" s="121">
        <v>0</v>
      </c>
      <c r="Q31" s="184">
        <v>0</v>
      </c>
      <c r="R31" s="184">
        <v>0</v>
      </c>
      <c r="S31" s="121">
        <v>0</v>
      </c>
      <c r="T31" s="121">
        <v>0</v>
      </c>
      <c r="U31" s="121">
        <v>0</v>
      </c>
      <c r="V31" s="121">
        <v>0</v>
      </c>
      <c r="W31" s="121">
        <v>0</v>
      </c>
      <c r="X31" s="121">
        <v>0</v>
      </c>
      <c r="Y31" s="121">
        <v>0</v>
      </c>
      <c r="Z31" s="121">
        <v>0</v>
      </c>
      <c r="AA31" s="121">
        <v>0</v>
      </c>
      <c r="AB31" s="169">
        <v>0</v>
      </c>
      <c r="AC31" s="121">
        <v>0</v>
      </c>
    </row>
    <row r="32" spans="1:29" ht="21">
      <c r="A32" s="137"/>
      <c r="B32" s="269" t="s">
        <v>317</v>
      </c>
      <c r="C32" s="335" t="s">
        <v>323</v>
      </c>
      <c r="D32" s="334" t="s">
        <v>66</v>
      </c>
      <c r="E32" s="64">
        <v>0.14949999999999999</v>
      </c>
      <c r="F32" s="184">
        <v>36</v>
      </c>
      <c r="G32" s="184">
        <v>36</v>
      </c>
      <c r="H32" s="121">
        <v>36</v>
      </c>
      <c r="I32" s="121">
        <v>0</v>
      </c>
      <c r="J32" s="121">
        <v>36</v>
      </c>
      <c r="K32" s="121">
        <v>18</v>
      </c>
      <c r="L32" s="121">
        <v>36</v>
      </c>
      <c r="M32" s="121">
        <v>18</v>
      </c>
      <c r="N32" s="121">
        <v>0</v>
      </c>
      <c r="O32" s="121">
        <v>0</v>
      </c>
      <c r="P32" s="121">
        <v>0</v>
      </c>
      <c r="Q32" s="184">
        <v>36</v>
      </c>
      <c r="R32" s="184">
        <v>36</v>
      </c>
      <c r="S32" s="121">
        <v>18</v>
      </c>
      <c r="T32" s="121">
        <v>18</v>
      </c>
      <c r="U32" s="121">
        <v>36</v>
      </c>
      <c r="V32" s="121">
        <v>58</v>
      </c>
      <c r="W32" s="121">
        <v>58</v>
      </c>
      <c r="X32" s="121">
        <v>36</v>
      </c>
      <c r="Y32" s="121">
        <v>36</v>
      </c>
      <c r="Z32" s="121">
        <v>36</v>
      </c>
      <c r="AA32" s="121">
        <v>18</v>
      </c>
      <c r="AB32" s="169">
        <v>58</v>
      </c>
      <c r="AC32" s="121">
        <v>0</v>
      </c>
    </row>
    <row r="33" spans="1:29" s="173" customFormat="1" ht="21">
      <c r="A33" s="77"/>
      <c r="B33" s="269" t="str">
        <f>B32</f>
        <v>Pesticide-</v>
      </c>
      <c r="C33" s="336" t="s">
        <v>324</v>
      </c>
      <c r="D33" s="334" t="s">
        <v>66</v>
      </c>
      <c r="E33" s="64">
        <v>0.33349999999999996</v>
      </c>
      <c r="F33" s="184">
        <v>0</v>
      </c>
      <c r="G33" s="184">
        <v>0</v>
      </c>
      <c r="H33" s="121">
        <v>0</v>
      </c>
      <c r="I33" s="121">
        <v>0</v>
      </c>
      <c r="J33" s="121">
        <v>0</v>
      </c>
      <c r="K33" s="121">
        <v>0</v>
      </c>
      <c r="L33" s="121">
        <v>0</v>
      </c>
      <c r="M33" s="121">
        <v>0</v>
      </c>
      <c r="N33" s="121">
        <v>20</v>
      </c>
      <c r="O33" s="121">
        <v>20</v>
      </c>
      <c r="P33" s="121">
        <v>0</v>
      </c>
      <c r="Q33" s="184">
        <v>0</v>
      </c>
      <c r="R33" s="184">
        <v>0</v>
      </c>
      <c r="S33" s="121">
        <v>0</v>
      </c>
      <c r="T33" s="121">
        <v>0</v>
      </c>
      <c r="U33" s="121">
        <v>0</v>
      </c>
      <c r="V33" s="121">
        <v>0</v>
      </c>
      <c r="W33" s="121">
        <v>0</v>
      </c>
      <c r="X33" s="121">
        <v>0</v>
      </c>
      <c r="Y33" s="121">
        <v>0</v>
      </c>
      <c r="Z33" s="121">
        <v>0</v>
      </c>
      <c r="AA33" s="121">
        <v>0</v>
      </c>
      <c r="AB33" s="169">
        <v>0</v>
      </c>
      <c r="AC33" s="121">
        <v>24</v>
      </c>
    </row>
    <row r="34" spans="1:29" s="160" customFormat="1" ht="21">
      <c r="A34" s="423"/>
      <c r="B34" s="269" t="str">
        <f t="shared" ref="B34:B72" si="1">B33</f>
        <v>Pesticide-</v>
      </c>
      <c r="C34" s="336" t="s">
        <v>325</v>
      </c>
      <c r="D34" s="334" t="s">
        <v>66</v>
      </c>
      <c r="E34" s="64">
        <v>1.3454999999999999</v>
      </c>
      <c r="F34" s="184">
        <v>0</v>
      </c>
      <c r="G34" s="184">
        <v>0</v>
      </c>
      <c r="H34" s="121">
        <v>0</v>
      </c>
      <c r="I34" s="121">
        <v>0</v>
      </c>
      <c r="J34" s="121">
        <v>0</v>
      </c>
      <c r="K34" s="121">
        <v>0</v>
      </c>
      <c r="L34" s="121">
        <v>0</v>
      </c>
      <c r="M34" s="121">
        <v>0</v>
      </c>
      <c r="N34" s="121">
        <v>0</v>
      </c>
      <c r="O34" s="121">
        <v>0</v>
      </c>
      <c r="P34" s="121">
        <v>0</v>
      </c>
      <c r="Q34" s="184">
        <v>0</v>
      </c>
      <c r="R34" s="184">
        <v>0</v>
      </c>
      <c r="S34" s="121">
        <v>0</v>
      </c>
      <c r="T34" s="121">
        <v>0</v>
      </c>
      <c r="U34" s="121">
        <v>0</v>
      </c>
      <c r="V34" s="121">
        <v>0</v>
      </c>
      <c r="W34" s="121">
        <v>0</v>
      </c>
      <c r="X34" s="121">
        <v>0</v>
      </c>
      <c r="Y34" s="121">
        <v>0</v>
      </c>
      <c r="Z34" s="121">
        <v>0</v>
      </c>
      <c r="AA34" s="121">
        <v>0</v>
      </c>
      <c r="AB34" s="169">
        <v>0</v>
      </c>
      <c r="AC34" s="121">
        <v>0</v>
      </c>
    </row>
    <row r="35" spans="1:29" ht="21">
      <c r="A35" s="138"/>
      <c r="B35" s="269" t="str">
        <f t="shared" si="1"/>
        <v>Pesticide-</v>
      </c>
      <c r="C35" s="336" t="s">
        <v>326</v>
      </c>
      <c r="D35" s="334" t="s">
        <v>66</v>
      </c>
      <c r="E35" s="64">
        <v>8.9699999999999989</v>
      </c>
      <c r="F35" s="184">
        <v>0.75</v>
      </c>
      <c r="G35" s="184">
        <v>0.75</v>
      </c>
      <c r="H35" s="121">
        <v>0.75</v>
      </c>
      <c r="I35" s="121">
        <v>0</v>
      </c>
      <c r="J35" s="121">
        <v>0.75</v>
      </c>
      <c r="K35" s="121">
        <v>0</v>
      </c>
      <c r="L35" s="121">
        <v>0</v>
      </c>
      <c r="M35" s="121">
        <v>0</v>
      </c>
      <c r="N35" s="121">
        <v>0</v>
      </c>
      <c r="O35" s="121">
        <v>0</v>
      </c>
      <c r="P35" s="121">
        <v>0</v>
      </c>
      <c r="Q35" s="184">
        <v>0.75</v>
      </c>
      <c r="R35" s="184">
        <v>0.75</v>
      </c>
      <c r="S35" s="121">
        <v>0</v>
      </c>
      <c r="T35" s="121">
        <v>0</v>
      </c>
      <c r="U35" s="121">
        <v>0.75</v>
      </c>
      <c r="V35" s="121">
        <v>0</v>
      </c>
      <c r="W35" s="121">
        <v>0</v>
      </c>
      <c r="X35" s="121">
        <v>0</v>
      </c>
      <c r="Y35" s="121">
        <v>0.75</v>
      </c>
      <c r="Z35" s="121">
        <v>0.75</v>
      </c>
      <c r="AA35" s="121">
        <v>0</v>
      </c>
      <c r="AB35" s="169">
        <v>0</v>
      </c>
      <c r="AC35" s="121">
        <v>0</v>
      </c>
    </row>
    <row r="36" spans="1:29" s="160" customFormat="1" ht="21">
      <c r="A36" s="423"/>
      <c r="B36" s="269" t="str">
        <f t="shared" si="1"/>
        <v>Pesticide-</v>
      </c>
      <c r="C36" s="336" t="s">
        <v>327</v>
      </c>
      <c r="D36" s="334" t="s">
        <v>66</v>
      </c>
      <c r="E36" s="64">
        <v>1.7249999999999999</v>
      </c>
      <c r="F36" s="184">
        <v>0</v>
      </c>
      <c r="G36" s="184">
        <v>0</v>
      </c>
      <c r="H36" s="121">
        <v>0</v>
      </c>
      <c r="I36" s="121">
        <v>0</v>
      </c>
      <c r="J36" s="121">
        <v>0</v>
      </c>
      <c r="K36" s="121">
        <v>0</v>
      </c>
      <c r="L36" s="121">
        <v>0</v>
      </c>
      <c r="M36" s="121">
        <v>0</v>
      </c>
      <c r="N36" s="121">
        <v>0</v>
      </c>
      <c r="O36" s="121">
        <v>0</v>
      </c>
      <c r="P36" s="121">
        <v>0</v>
      </c>
      <c r="Q36" s="184">
        <v>0</v>
      </c>
      <c r="R36" s="184">
        <v>0</v>
      </c>
      <c r="S36" s="121">
        <v>0</v>
      </c>
      <c r="T36" s="121">
        <v>0</v>
      </c>
      <c r="U36" s="121">
        <v>0</v>
      </c>
      <c r="V36" s="121">
        <v>0</v>
      </c>
      <c r="W36" s="121">
        <v>0</v>
      </c>
      <c r="X36" s="121">
        <v>0</v>
      </c>
      <c r="Y36" s="121">
        <v>0</v>
      </c>
      <c r="Z36" s="121">
        <v>0</v>
      </c>
      <c r="AA36" s="121">
        <v>0</v>
      </c>
      <c r="AB36" s="169">
        <v>0</v>
      </c>
      <c r="AC36" s="121">
        <v>0</v>
      </c>
    </row>
    <row r="37" spans="1:29" ht="21">
      <c r="A37" s="138"/>
      <c r="B37" s="269" t="str">
        <f t="shared" si="1"/>
        <v>Pesticide-</v>
      </c>
      <c r="C37" s="336" t="s">
        <v>328</v>
      </c>
      <c r="D37" s="334" t="s">
        <v>66</v>
      </c>
      <c r="E37" s="64">
        <v>0.98899999999999988</v>
      </c>
      <c r="F37" s="184">
        <v>0</v>
      </c>
      <c r="G37" s="184">
        <v>0</v>
      </c>
      <c r="H37" s="121">
        <v>0</v>
      </c>
      <c r="I37" s="121">
        <v>0</v>
      </c>
      <c r="J37" s="121">
        <v>0</v>
      </c>
      <c r="K37" s="121">
        <v>0</v>
      </c>
      <c r="L37" s="121">
        <v>0</v>
      </c>
      <c r="M37" s="121">
        <v>0</v>
      </c>
      <c r="N37" s="121">
        <v>0</v>
      </c>
      <c r="O37" s="121">
        <v>0</v>
      </c>
      <c r="P37" s="121">
        <v>0</v>
      </c>
      <c r="Q37" s="184">
        <v>0</v>
      </c>
      <c r="R37" s="184">
        <v>0</v>
      </c>
      <c r="S37" s="121">
        <v>0</v>
      </c>
      <c r="T37" s="121">
        <v>0</v>
      </c>
      <c r="U37" s="121">
        <v>0</v>
      </c>
      <c r="V37" s="121">
        <v>0</v>
      </c>
      <c r="W37" s="121">
        <v>0</v>
      </c>
      <c r="X37" s="121">
        <v>0</v>
      </c>
      <c r="Y37" s="121">
        <v>0</v>
      </c>
      <c r="Z37" s="121">
        <v>0</v>
      </c>
      <c r="AA37" s="121">
        <v>0</v>
      </c>
      <c r="AB37" s="169">
        <v>0</v>
      </c>
      <c r="AC37" s="121">
        <v>0</v>
      </c>
    </row>
    <row r="38" spans="1:29" s="160" customFormat="1" ht="21">
      <c r="A38" s="423"/>
      <c r="B38" s="269" t="str">
        <f t="shared" si="1"/>
        <v>Pesticide-</v>
      </c>
      <c r="C38" s="336" t="s">
        <v>329</v>
      </c>
      <c r="D38" s="334" t="s">
        <v>66</v>
      </c>
      <c r="E38" s="64">
        <v>1.3224999999999998</v>
      </c>
      <c r="F38" s="184">
        <v>0</v>
      </c>
      <c r="G38" s="184">
        <v>0</v>
      </c>
      <c r="H38" s="121">
        <v>0</v>
      </c>
      <c r="I38" s="121">
        <v>0</v>
      </c>
      <c r="J38" s="121">
        <v>0</v>
      </c>
      <c r="K38" s="121">
        <v>0</v>
      </c>
      <c r="L38" s="121">
        <v>0</v>
      </c>
      <c r="M38" s="121">
        <v>0</v>
      </c>
      <c r="N38" s="121">
        <v>0</v>
      </c>
      <c r="O38" s="121">
        <v>0</v>
      </c>
      <c r="P38" s="121">
        <v>0</v>
      </c>
      <c r="Q38" s="184">
        <v>0</v>
      </c>
      <c r="R38" s="184">
        <v>0</v>
      </c>
      <c r="S38" s="121">
        <v>0</v>
      </c>
      <c r="T38" s="121">
        <v>0</v>
      </c>
      <c r="U38" s="121">
        <v>0</v>
      </c>
      <c r="V38" s="121">
        <v>0</v>
      </c>
      <c r="W38" s="121">
        <v>0</v>
      </c>
      <c r="X38" s="121">
        <v>0</v>
      </c>
      <c r="Y38" s="121">
        <v>0</v>
      </c>
      <c r="Z38" s="121">
        <v>0</v>
      </c>
      <c r="AA38" s="121">
        <v>0</v>
      </c>
      <c r="AB38" s="169">
        <v>0</v>
      </c>
      <c r="AC38" s="121">
        <v>0</v>
      </c>
    </row>
    <row r="39" spans="1:29" s="160" customFormat="1" ht="21">
      <c r="A39" s="423"/>
      <c r="B39" s="269" t="str">
        <f t="shared" si="1"/>
        <v>Pesticide-</v>
      </c>
      <c r="C39" s="333" t="s">
        <v>330</v>
      </c>
      <c r="D39" s="334" t="s">
        <v>66</v>
      </c>
      <c r="E39" s="64">
        <v>1.0924999999999998</v>
      </c>
      <c r="F39" s="184">
        <v>15</v>
      </c>
      <c r="G39" s="184">
        <v>15</v>
      </c>
      <c r="H39" s="121">
        <v>15</v>
      </c>
      <c r="I39" s="121">
        <v>0</v>
      </c>
      <c r="J39" s="121">
        <v>15</v>
      </c>
      <c r="K39" s="121">
        <v>0</v>
      </c>
      <c r="L39" s="121">
        <v>0</v>
      </c>
      <c r="M39" s="121">
        <v>0</v>
      </c>
      <c r="N39" s="121">
        <v>0</v>
      </c>
      <c r="O39" s="121">
        <v>0</v>
      </c>
      <c r="P39" s="121">
        <v>0</v>
      </c>
      <c r="Q39" s="184">
        <v>15</v>
      </c>
      <c r="R39" s="184">
        <v>15</v>
      </c>
      <c r="S39" s="121">
        <v>0</v>
      </c>
      <c r="T39" s="121">
        <v>0</v>
      </c>
      <c r="U39" s="121">
        <v>15</v>
      </c>
      <c r="V39" s="121">
        <v>0</v>
      </c>
      <c r="W39" s="121">
        <v>0</v>
      </c>
      <c r="X39" s="121">
        <v>0</v>
      </c>
      <c r="Y39" s="121">
        <v>15</v>
      </c>
      <c r="Z39" s="121">
        <v>15</v>
      </c>
      <c r="AA39" s="121">
        <v>0</v>
      </c>
      <c r="AB39" s="169">
        <v>0</v>
      </c>
      <c r="AC39" s="121">
        <v>0</v>
      </c>
    </row>
    <row r="40" spans="1:29" ht="21">
      <c r="B40" s="269" t="str">
        <f t="shared" si="1"/>
        <v>Pesticide-</v>
      </c>
      <c r="C40" s="336" t="s">
        <v>331</v>
      </c>
      <c r="D40" s="334" t="s">
        <v>66</v>
      </c>
      <c r="E40" s="64">
        <v>7.911999999999999</v>
      </c>
      <c r="F40" s="184">
        <v>0</v>
      </c>
      <c r="G40" s="184">
        <v>0</v>
      </c>
      <c r="H40" s="121">
        <v>0</v>
      </c>
      <c r="I40" s="121">
        <v>0</v>
      </c>
      <c r="J40" s="121">
        <v>0</v>
      </c>
      <c r="K40" s="121">
        <v>0</v>
      </c>
      <c r="L40" s="121">
        <v>0</v>
      </c>
      <c r="M40" s="121">
        <v>0</v>
      </c>
      <c r="N40" s="121">
        <v>0</v>
      </c>
      <c r="O40" s="121">
        <v>0</v>
      </c>
      <c r="P40" s="121">
        <v>0</v>
      </c>
      <c r="Q40" s="184">
        <v>0</v>
      </c>
      <c r="R40" s="184">
        <v>0</v>
      </c>
      <c r="S40" s="121">
        <v>0</v>
      </c>
      <c r="T40" s="121">
        <v>0</v>
      </c>
      <c r="U40" s="121">
        <v>0</v>
      </c>
      <c r="V40" s="121">
        <v>0</v>
      </c>
      <c r="W40" s="121">
        <v>0</v>
      </c>
      <c r="X40" s="121">
        <v>0</v>
      </c>
      <c r="Y40" s="121">
        <v>0</v>
      </c>
      <c r="Z40" s="121">
        <v>0</v>
      </c>
      <c r="AA40" s="121">
        <v>0</v>
      </c>
      <c r="AB40" s="169">
        <v>0</v>
      </c>
      <c r="AC40" s="121">
        <v>0</v>
      </c>
    </row>
    <row r="41" spans="1:29" s="160" customFormat="1" ht="21">
      <c r="A41" s="424"/>
      <c r="B41" s="269" t="str">
        <f t="shared" si="1"/>
        <v>Pesticide-</v>
      </c>
      <c r="C41" s="336" t="s">
        <v>332</v>
      </c>
      <c r="D41" s="334" t="s">
        <v>66</v>
      </c>
      <c r="E41" s="64">
        <v>0.42549999999999999</v>
      </c>
      <c r="F41" s="184">
        <v>0</v>
      </c>
      <c r="G41" s="184">
        <v>0</v>
      </c>
      <c r="H41" s="121">
        <v>0</v>
      </c>
      <c r="I41" s="121">
        <v>0</v>
      </c>
      <c r="J41" s="121">
        <v>0</v>
      </c>
      <c r="K41" s="121">
        <v>0</v>
      </c>
      <c r="L41" s="121">
        <v>0</v>
      </c>
      <c r="M41" s="121">
        <v>0</v>
      </c>
      <c r="N41" s="121">
        <v>0</v>
      </c>
      <c r="O41" s="121">
        <v>0</v>
      </c>
      <c r="P41" s="121">
        <v>0</v>
      </c>
      <c r="Q41" s="184">
        <v>0</v>
      </c>
      <c r="R41" s="184">
        <v>0</v>
      </c>
      <c r="S41" s="121">
        <v>0</v>
      </c>
      <c r="T41" s="121">
        <v>0</v>
      </c>
      <c r="U41" s="121">
        <v>0</v>
      </c>
      <c r="V41" s="121">
        <v>0</v>
      </c>
      <c r="W41" s="121">
        <v>0</v>
      </c>
      <c r="X41" s="121">
        <v>0</v>
      </c>
      <c r="Y41" s="121">
        <v>0</v>
      </c>
      <c r="Z41" s="121">
        <v>0</v>
      </c>
      <c r="AA41" s="121">
        <v>0</v>
      </c>
      <c r="AB41" s="169">
        <v>0</v>
      </c>
      <c r="AC41" s="121">
        <v>0</v>
      </c>
    </row>
    <row r="42" spans="1:29" ht="21">
      <c r="A42" s="137"/>
      <c r="B42" s="269" t="str">
        <f t="shared" si="1"/>
        <v>Pesticide-</v>
      </c>
      <c r="C42" s="336" t="s">
        <v>333</v>
      </c>
      <c r="D42" s="334" t="s">
        <v>66</v>
      </c>
      <c r="E42" s="64">
        <v>2.7024999999999997</v>
      </c>
      <c r="F42" s="184">
        <v>0</v>
      </c>
      <c r="G42" s="184">
        <v>0</v>
      </c>
      <c r="H42" s="121">
        <v>0</v>
      </c>
      <c r="I42" s="121">
        <v>0</v>
      </c>
      <c r="J42" s="121">
        <v>0</v>
      </c>
      <c r="K42" s="121">
        <v>0</v>
      </c>
      <c r="L42" s="121">
        <v>0</v>
      </c>
      <c r="M42" s="121">
        <v>0</v>
      </c>
      <c r="N42" s="121">
        <v>0</v>
      </c>
      <c r="O42" s="121">
        <v>0</v>
      </c>
      <c r="P42" s="121">
        <v>0</v>
      </c>
      <c r="Q42" s="184">
        <v>0</v>
      </c>
      <c r="R42" s="184">
        <v>0</v>
      </c>
      <c r="S42" s="121">
        <v>0</v>
      </c>
      <c r="T42" s="121">
        <v>0</v>
      </c>
      <c r="U42" s="121">
        <v>0</v>
      </c>
      <c r="V42" s="121">
        <v>5</v>
      </c>
      <c r="W42" s="121">
        <v>5</v>
      </c>
      <c r="X42" s="121">
        <v>0</v>
      </c>
      <c r="Y42" s="121">
        <v>0</v>
      </c>
      <c r="Z42" s="121">
        <v>0</v>
      </c>
      <c r="AA42" s="121">
        <v>0</v>
      </c>
      <c r="AB42" s="121">
        <v>5</v>
      </c>
      <c r="AC42" s="121">
        <v>0</v>
      </c>
    </row>
    <row r="43" spans="1:29" ht="21" customHeight="1">
      <c r="A43" s="137"/>
      <c r="B43" s="269" t="str">
        <f t="shared" si="1"/>
        <v>Pesticide-</v>
      </c>
      <c r="C43" s="333" t="s">
        <v>334</v>
      </c>
      <c r="D43" s="337" t="s">
        <v>269</v>
      </c>
      <c r="E43" s="64">
        <v>7.1874999999999991</v>
      </c>
      <c r="F43" s="184">
        <v>0</v>
      </c>
      <c r="G43" s="184">
        <v>0</v>
      </c>
      <c r="H43" s="121">
        <v>0</v>
      </c>
      <c r="I43" s="121">
        <v>0</v>
      </c>
      <c r="J43" s="121">
        <v>0</v>
      </c>
      <c r="K43" s="121">
        <v>1</v>
      </c>
      <c r="L43" s="121">
        <v>0</v>
      </c>
      <c r="M43" s="121">
        <v>1</v>
      </c>
      <c r="N43" s="121">
        <v>0</v>
      </c>
      <c r="O43" s="121">
        <v>0</v>
      </c>
      <c r="P43" s="121">
        <v>0</v>
      </c>
      <c r="Q43" s="184">
        <v>0</v>
      </c>
      <c r="R43" s="184">
        <v>0</v>
      </c>
      <c r="S43" s="121">
        <v>0</v>
      </c>
      <c r="T43" s="121">
        <v>0</v>
      </c>
      <c r="U43" s="121">
        <v>0</v>
      </c>
      <c r="V43" s="121">
        <v>0</v>
      </c>
      <c r="W43" s="121">
        <v>0</v>
      </c>
      <c r="X43" s="121">
        <v>1</v>
      </c>
      <c r="Y43" s="121">
        <v>0</v>
      </c>
      <c r="Z43" s="121">
        <v>0</v>
      </c>
      <c r="AA43" s="121">
        <v>1</v>
      </c>
      <c r="AB43" s="121">
        <v>0</v>
      </c>
      <c r="AC43" s="121">
        <v>0</v>
      </c>
    </row>
    <row r="44" spans="1:29" ht="21" customHeight="1">
      <c r="A44" s="137"/>
      <c r="B44" s="269" t="str">
        <f t="shared" si="1"/>
        <v>Pesticide-</v>
      </c>
      <c r="C44" s="336" t="s">
        <v>335</v>
      </c>
      <c r="D44" s="334" t="s">
        <v>66</v>
      </c>
      <c r="E44" s="64">
        <v>0.75900000000000001</v>
      </c>
      <c r="F44" s="184">
        <v>0</v>
      </c>
      <c r="G44" s="184">
        <v>0</v>
      </c>
      <c r="H44" s="121">
        <v>0</v>
      </c>
      <c r="I44" s="121">
        <v>0</v>
      </c>
      <c r="J44" s="121">
        <v>0</v>
      </c>
      <c r="K44" s="121">
        <v>4</v>
      </c>
      <c r="L44" s="121">
        <v>4</v>
      </c>
      <c r="M44" s="121">
        <v>4</v>
      </c>
      <c r="N44" s="121">
        <v>0</v>
      </c>
      <c r="O44" s="121">
        <v>0</v>
      </c>
      <c r="P44" s="121">
        <v>0</v>
      </c>
      <c r="Q44" s="184">
        <v>0</v>
      </c>
      <c r="R44" s="184">
        <v>0</v>
      </c>
      <c r="S44" s="121">
        <v>0</v>
      </c>
      <c r="T44" s="121">
        <v>0</v>
      </c>
      <c r="U44" s="121">
        <v>0</v>
      </c>
      <c r="V44" s="121">
        <v>0</v>
      </c>
      <c r="W44" s="121">
        <v>0</v>
      </c>
      <c r="X44" s="121">
        <v>4</v>
      </c>
      <c r="Y44" s="121">
        <v>0</v>
      </c>
      <c r="Z44" s="121">
        <v>0</v>
      </c>
      <c r="AA44" s="121">
        <v>4</v>
      </c>
      <c r="AB44" s="121">
        <v>0</v>
      </c>
      <c r="AC44" s="121">
        <v>0</v>
      </c>
    </row>
    <row r="45" spans="1:29" ht="21" customHeight="1">
      <c r="A45" s="137"/>
      <c r="B45" s="269" t="str">
        <f t="shared" si="1"/>
        <v>Pesticide-</v>
      </c>
      <c r="C45" s="336" t="s">
        <v>336</v>
      </c>
      <c r="D45" s="334" t="s">
        <v>66</v>
      </c>
      <c r="E45" s="64">
        <v>1.6904999999999999</v>
      </c>
      <c r="F45" s="184">
        <v>0</v>
      </c>
      <c r="G45" s="184">
        <v>0</v>
      </c>
      <c r="H45" s="121">
        <v>0</v>
      </c>
      <c r="I45" s="121">
        <v>0</v>
      </c>
      <c r="J45" s="121">
        <v>0</v>
      </c>
      <c r="K45" s="121">
        <v>0</v>
      </c>
      <c r="L45" s="121">
        <v>0</v>
      </c>
      <c r="M45" s="121">
        <v>0</v>
      </c>
      <c r="N45" s="121">
        <v>0</v>
      </c>
      <c r="O45" s="121">
        <v>0</v>
      </c>
      <c r="P45" s="121">
        <v>0</v>
      </c>
      <c r="Q45" s="184">
        <v>0</v>
      </c>
      <c r="R45" s="184">
        <v>0</v>
      </c>
      <c r="S45" s="121">
        <v>0</v>
      </c>
      <c r="T45" s="121">
        <v>0</v>
      </c>
      <c r="U45" s="121">
        <v>0</v>
      </c>
      <c r="V45" s="121">
        <v>0</v>
      </c>
      <c r="W45" s="121">
        <v>0</v>
      </c>
      <c r="X45" s="121">
        <v>0</v>
      </c>
      <c r="Y45" s="121">
        <v>0</v>
      </c>
      <c r="Z45" s="121">
        <v>0</v>
      </c>
      <c r="AA45" s="121">
        <v>0</v>
      </c>
      <c r="AB45" s="121">
        <v>0</v>
      </c>
      <c r="AC45" s="121">
        <v>0</v>
      </c>
    </row>
    <row r="46" spans="1:29" ht="21">
      <c r="A46" s="137"/>
      <c r="B46" s="269" t="str">
        <f t="shared" si="1"/>
        <v>Pesticide-</v>
      </c>
      <c r="C46" s="336" t="s">
        <v>337</v>
      </c>
      <c r="D46" s="334" t="s">
        <v>66</v>
      </c>
      <c r="E46" s="64">
        <v>19.158999999999999</v>
      </c>
      <c r="F46" s="184">
        <v>0</v>
      </c>
      <c r="G46" s="184">
        <v>0</v>
      </c>
      <c r="H46" s="121">
        <v>0</v>
      </c>
      <c r="I46" s="121">
        <v>0</v>
      </c>
      <c r="J46" s="121">
        <v>0</v>
      </c>
      <c r="K46" s="121">
        <v>0</v>
      </c>
      <c r="L46" s="121">
        <v>0</v>
      </c>
      <c r="M46" s="121">
        <v>0</v>
      </c>
      <c r="N46" s="121">
        <v>0</v>
      </c>
      <c r="O46" s="121">
        <v>0</v>
      </c>
      <c r="P46" s="121">
        <v>0</v>
      </c>
      <c r="Q46" s="184">
        <v>0</v>
      </c>
      <c r="R46" s="184">
        <v>0</v>
      </c>
      <c r="S46" s="121">
        <v>0</v>
      </c>
      <c r="T46" s="121">
        <v>0</v>
      </c>
      <c r="U46" s="121">
        <v>0</v>
      </c>
      <c r="V46" s="121">
        <v>0</v>
      </c>
      <c r="W46" s="121">
        <v>0</v>
      </c>
      <c r="X46" s="121">
        <v>0</v>
      </c>
      <c r="Y46" s="121">
        <v>0</v>
      </c>
      <c r="Z46" s="121">
        <v>0</v>
      </c>
      <c r="AA46" s="121">
        <v>0</v>
      </c>
      <c r="AB46" s="121">
        <v>0</v>
      </c>
      <c r="AC46" s="121">
        <v>0</v>
      </c>
    </row>
    <row r="47" spans="1:29" ht="21">
      <c r="A47" s="137"/>
      <c r="B47" s="269" t="str">
        <f t="shared" si="1"/>
        <v>Pesticide-</v>
      </c>
      <c r="C47" s="336" t="s">
        <v>338</v>
      </c>
      <c r="D47" s="334" t="s">
        <v>66</v>
      </c>
      <c r="E47" s="64">
        <v>19.940999999999999</v>
      </c>
      <c r="F47" s="184">
        <v>0</v>
      </c>
      <c r="G47" s="184">
        <v>0</v>
      </c>
      <c r="H47" s="121">
        <v>0</v>
      </c>
      <c r="I47" s="121">
        <v>0</v>
      </c>
      <c r="J47" s="121">
        <v>0</v>
      </c>
      <c r="K47" s="121">
        <v>0</v>
      </c>
      <c r="L47" s="121">
        <v>0</v>
      </c>
      <c r="M47" s="121">
        <v>0</v>
      </c>
      <c r="N47" s="121">
        <v>0</v>
      </c>
      <c r="O47" s="121">
        <v>0</v>
      </c>
      <c r="P47" s="121">
        <v>0</v>
      </c>
      <c r="Q47" s="184">
        <v>0</v>
      </c>
      <c r="R47" s="184">
        <v>0</v>
      </c>
      <c r="S47" s="121">
        <v>0</v>
      </c>
      <c r="T47" s="121">
        <v>0</v>
      </c>
      <c r="U47" s="121">
        <v>0</v>
      </c>
      <c r="V47" s="121">
        <v>0</v>
      </c>
      <c r="W47" s="121">
        <v>0</v>
      </c>
      <c r="X47" s="121">
        <v>0</v>
      </c>
      <c r="Y47" s="121">
        <v>0</v>
      </c>
      <c r="Z47" s="121">
        <v>0</v>
      </c>
      <c r="AA47" s="121">
        <v>0</v>
      </c>
      <c r="AB47" s="121">
        <v>0</v>
      </c>
      <c r="AC47" s="121">
        <v>0</v>
      </c>
    </row>
    <row r="48" spans="1:29" ht="21">
      <c r="A48" s="137"/>
      <c r="B48" s="269" t="str">
        <f t="shared" si="1"/>
        <v>Pesticide-</v>
      </c>
      <c r="C48" s="336" t="s">
        <v>339</v>
      </c>
      <c r="D48" s="334" t="s">
        <v>66</v>
      </c>
      <c r="E48" s="64">
        <v>0.14949999999999999</v>
      </c>
      <c r="F48" s="184">
        <v>0</v>
      </c>
      <c r="G48" s="184">
        <v>0</v>
      </c>
      <c r="H48" s="121">
        <v>0</v>
      </c>
      <c r="I48" s="121">
        <v>0</v>
      </c>
      <c r="J48" s="121">
        <v>0</v>
      </c>
      <c r="K48" s="121">
        <v>0</v>
      </c>
      <c r="L48" s="121">
        <v>0</v>
      </c>
      <c r="M48" s="121">
        <v>0</v>
      </c>
      <c r="N48" s="121">
        <v>32</v>
      </c>
      <c r="O48" s="121">
        <v>32</v>
      </c>
      <c r="P48" s="121">
        <v>0</v>
      </c>
      <c r="Q48" s="184">
        <v>0</v>
      </c>
      <c r="R48" s="184">
        <v>0</v>
      </c>
      <c r="S48" s="121">
        <v>0</v>
      </c>
      <c r="T48" s="121">
        <v>0</v>
      </c>
      <c r="U48" s="121">
        <v>0</v>
      </c>
      <c r="V48" s="121">
        <v>0</v>
      </c>
      <c r="W48" s="121">
        <v>0</v>
      </c>
      <c r="X48" s="121">
        <v>0</v>
      </c>
      <c r="Y48" s="121">
        <v>0</v>
      </c>
      <c r="Z48" s="121">
        <v>0</v>
      </c>
      <c r="AA48" s="121">
        <v>0</v>
      </c>
      <c r="AB48" s="121">
        <v>0</v>
      </c>
      <c r="AC48" s="121">
        <v>24</v>
      </c>
    </row>
    <row r="49" spans="1:29" ht="21">
      <c r="A49" s="137"/>
      <c r="B49" s="269" t="str">
        <f t="shared" si="1"/>
        <v>Pesticide-</v>
      </c>
      <c r="C49" s="336" t="s">
        <v>340</v>
      </c>
      <c r="D49" s="334" t="s">
        <v>66</v>
      </c>
      <c r="E49" s="64">
        <v>0.88549999999999995</v>
      </c>
      <c r="F49" s="184">
        <v>13.7</v>
      </c>
      <c r="G49" s="184">
        <v>13.7</v>
      </c>
      <c r="H49" s="121">
        <v>13.7</v>
      </c>
      <c r="I49" s="121">
        <v>0</v>
      </c>
      <c r="J49" s="121">
        <v>13.7</v>
      </c>
      <c r="K49" s="121">
        <v>0</v>
      </c>
      <c r="L49" s="121">
        <v>0</v>
      </c>
      <c r="M49" s="121">
        <v>0</v>
      </c>
      <c r="N49" s="121">
        <v>0</v>
      </c>
      <c r="O49" s="121">
        <v>0</v>
      </c>
      <c r="P49" s="121">
        <v>0</v>
      </c>
      <c r="Q49" s="184">
        <v>13.7</v>
      </c>
      <c r="R49" s="184">
        <v>13.7</v>
      </c>
      <c r="S49" s="121">
        <v>0</v>
      </c>
      <c r="T49" s="121">
        <v>0</v>
      </c>
      <c r="U49" s="121">
        <v>13.7</v>
      </c>
      <c r="V49" s="121">
        <v>0</v>
      </c>
      <c r="W49" s="121">
        <v>0</v>
      </c>
      <c r="X49" s="121">
        <v>0</v>
      </c>
      <c r="Y49" s="121">
        <v>13.7</v>
      </c>
      <c r="Z49" s="121">
        <v>13.7</v>
      </c>
      <c r="AA49" s="121">
        <v>0</v>
      </c>
      <c r="AB49" s="121">
        <v>0</v>
      </c>
      <c r="AC49" s="121">
        <v>0</v>
      </c>
    </row>
    <row r="50" spans="1:29" s="160" customFormat="1" ht="21">
      <c r="A50" s="425"/>
      <c r="B50" s="269" t="str">
        <f t="shared" si="1"/>
        <v>Pesticide-</v>
      </c>
      <c r="C50" s="336" t="s">
        <v>341</v>
      </c>
      <c r="D50" s="334" t="s">
        <v>118</v>
      </c>
      <c r="E50" s="64">
        <v>17.295999999999999</v>
      </c>
      <c r="F50" s="184">
        <v>0</v>
      </c>
      <c r="G50" s="184">
        <v>0</v>
      </c>
      <c r="H50" s="121">
        <v>0</v>
      </c>
      <c r="I50" s="121">
        <v>0</v>
      </c>
      <c r="J50" s="121">
        <v>0</v>
      </c>
      <c r="K50" s="121">
        <v>0</v>
      </c>
      <c r="L50" s="121">
        <v>0</v>
      </c>
      <c r="M50" s="121">
        <v>0</v>
      </c>
      <c r="N50" s="121">
        <v>0</v>
      </c>
      <c r="O50" s="121">
        <v>0</v>
      </c>
      <c r="P50" s="121">
        <v>0</v>
      </c>
      <c r="Q50" s="184">
        <v>0</v>
      </c>
      <c r="R50" s="184">
        <v>0</v>
      </c>
      <c r="S50" s="121">
        <v>0</v>
      </c>
      <c r="T50" s="121">
        <v>0</v>
      </c>
      <c r="U50" s="121">
        <v>0</v>
      </c>
      <c r="V50" s="121">
        <v>0</v>
      </c>
      <c r="W50" s="121">
        <v>0</v>
      </c>
      <c r="X50" s="121">
        <v>0</v>
      </c>
      <c r="Y50" s="121">
        <v>0</v>
      </c>
      <c r="Z50" s="121">
        <v>0</v>
      </c>
      <c r="AA50" s="121">
        <v>0</v>
      </c>
      <c r="AB50" s="121">
        <v>0</v>
      </c>
      <c r="AC50" s="121">
        <v>0</v>
      </c>
    </row>
    <row r="51" spans="1:29" s="160" customFormat="1" ht="21">
      <c r="A51" s="426"/>
      <c r="B51" s="269" t="str">
        <f t="shared" si="1"/>
        <v>Pesticide-</v>
      </c>
      <c r="C51" s="336" t="s">
        <v>342</v>
      </c>
      <c r="D51" s="334" t="s">
        <v>66</v>
      </c>
      <c r="E51" s="64">
        <v>23.885499999999997</v>
      </c>
      <c r="F51" s="184">
        <v>0</v>
      </c>
      <c r="G51" s="184">
        <v>0</v>
      </c>
      <c r="H51" s="121">
        <v>0</v>
      </c>
      <c r="I51" s="121">
        <v>0</v>
      </c>
      <c r="J51" s="121">
        <v>0</v>
      </c>
      <c r="K51" s="121">
        <v>0</v>
      </c>
      <c r="L51" s="121">
        <v>0</v>
      </c>
      <c r="M51" s="121">
        <v>0</v>
      </c>
      <c r="N51" s="121">
        <v>0</v>
      </c>
      <c r="O51" s="121">
        <v>0</v>
      </c>
      <c r="P51" s="121">
        <v>0</v>
      </c>
      <c r="Q51" s="184">
        <v>0</v>
      </c>
      <c r="R51" s="184">
        <v>0</v>
      </c>
      <c r="S51" s="121">
        <v>0</v>
      </c>
      <c r="T51" s="121">
        <v>0</v>
      </c>
      <c r="U51" s="121">
        <v>0</v>
      </c>
      <c r="V51" s="121">
        <v>0</v>
      </c>
      <c r="W51" s="121">
        <v>0</v>
      </c>
      <c r="X51" s="121">
        <v>0</v>
      </c>
      <c r="Y51" s="121">
        <v>0</v>
      </c>
      <c r="Z51" s="121">
        <v>0</v>
      </c>
      <c r="AA51" s="121">
        <v>0</v>
      </c>
      <c r="AB51" s="121">
        <v>0</v>
      </c>
      <c r="AC51" s="121">
        <v>0</v>
      </c>
    </row>
    <row r="52" spans="1:29" ht="21">
      <c r="B52" s="269" t="str">
        <f t="shared" si="1"/>
        <v>Pesticide-</v>
      </c>
      <c r="C52" s="336" t="s">
        <v>343</v>
      </c>
      <c r="D52" s="334" t="s">
        <v>66</v>
      </c>
      <c r="E52" s="64">
        <v>5.0484999999999989</v>
      </c>
      <c r="F52" s="184">
        <v>0</v>
      </c>
      <c r="G52" s="184">
        <v>0</v>
      </c>
      <c r="H52" s="121">
        <v>0</v>
      </c>
      <c r="I52" s="121">
        <v>0</v>
      </c>
      <c r="J52" s="121">
        <v>0</v>
      </c>
      <c r="K52" s="121">
        <v>0</v>
      </c>
      <c r="L52" s="121">
        <v>0</v>
      </c>
      <c r="M52" s="121">
        <v>0</v>
      </c>
      <c r="N52" s="121">
        <v>0</v>
      </c>
      <c r="O52" s="121">
        <v>0</v>
      </c>
      <c r="P52" s="121">
        <v>0</v>
      </c>
      <c r="Q52" s="184">
        <v>0</v>
      </c>
      <c r="R52" s="184">
        <v>0</v>
      </c>
      <c r="S52" s="121">
        <v>0</v>
      </c>
      <c r="T52" s="121">
        <v>0</v>
      </c>
      <c r="U52" s="121">
        <v>0</v>
      </c>
      <c r="V52" s="121">
        <v>0</v>
      </c>
      <c r="W52" s="121">
        <v>0</v>
      </c>
      <c r="X52" s="121">
        <v>0</v>
      </c>
      <c r="Y52" s="121">
        <v>0</v>
      </c>
      <c r="Z52" s="121">
        <v>0</v>
      </c>
      <c r="AA52" s="121">
        <v>0</v>
      </c>
      <c r="AB52" s="121">
        <v>0</v>
      </c>
      <c r="AC52" s="121">
        <v>0</v>
      </c>
    </row>
    <row r="53" spans="1:29" ht="21">
      <c r="B53" s="269" t="str">
        <f t="shared" si="1"/>
        <v>Pesticide-</v>
      </c>
      <c r="C53" s="336" t="s">
        <v>344</v>
      </c>
      <c r="D53" s="334" t="s">
        <v>66</v>
      </c>
      <c r="E53" s="64">
        <v>19.285499999999999</v>
      </c>
      <c r="F53" s="184">
        <v>0</v>
      </c>
      <c r="G53" s="184">
        <v>0</v>
      </c>
      <c r="H53" s="121">
        <v>0</v>
      </c>
      <c r="I53" s="121">
        <v>0</v>
      </c>
      <c r="J53" s="121">
        <v>0</v>
      </c>
      <c r="K53" s="121">
        <v>0</v>
      </c>
      <c r="L53" s="121">
        <v>0</v>
      </c>
      <c r="M53" s="121">
        <v>0</v>
      </c>
      <c r="N53" s="121">
        <v>0</v>
      </c>
      <c r="O53" s="121">
        <v>0</v>
      </c>
      <c r="P53" s="121">
        <v>0</v>
      </c>
      <c r="Q53" s="184">
        <v>0</v>
      </c>
      <c r="R53" s="184">
        <v>0</v>
      </c>
      <c r="S53" s="121">
        <v>0</v>
      </c>
      <c r="T53" s="121">
        <v>0</v>
      </c>
      <c r="U53" s="121">
        <v>0</v>
      </c>
      <c r="V53" s="121">
        <v>0</v>
      </c>
      <c r="W53" s="121">
        <v>0</v>
      </c>
      <c r="X53" s="121">
        <v>0</v>
      </c>
      <c r="Y53" s="121">
        <v>0</v>
      </c>
      <c r="Z53" s="121">
        <v>0</v>
      </c>
      <c r="AA53" s="121">
        <v>0</v>
      </c>
      <c r="AB53" s="121">
        <v>0</v>
      </c>
      <c r="AC53" s="121">
        <v>0</v>
      </c>
    </row>
    <row r="54" spans="1:29" ht="21">
      <c r="B54" s="269" t="str">
        <f t="shared" si="1"/>
        <v>Pesticide-</v>
      </c>
      <c r="C54" s="336" t="s">
        <v>345</v>
      </c>
      <c r="D54" s="334" t="s">
        <v>66</v>
      </c>
      <c r="E54" s="64">
        <v>8.9124999999999996</v>
      </c>
      <c r="F54" s="184">
        <v>0</v>
      </c>
      <c r="G54" s="184">
        <v>0</v>
      </c>
      <c r="H54" s="121">
        <v>0</v>
      </c>
      <c r="I54" s="121">
        <v>0</v>
      </c>
      <c r="J54" s="121">
        <v>0</v>
      </c>
      <c r="K54" s="121">
        <v>0</v>
      </c>
      <c r="L54" s="121">
        <v>0</v>
      </c>
      <c r="M54" s="121">
        <v>0</v>
      </c>
      <c r="N54" s="121">
        <v>0</v>
      </c>
      <c r="O54" s="121">
        <v>0</v>
      </c>
      <c r="P54" s="121">
        <v>0</v>
      </c>
      <c r="Q54" s="184">
        <v>0</v>
      </c>
      <c r="R54" s="184">
        <v>0</v>
      </c>
      <c r="S54" s="121">
        <v>0</v>
      </c>
      <c r="T54" s="121">
        <v>0</v>
      </c>
      <c r="U54" s="121">
        <v>0</v>
      </c>
      <c r="V54" s="121">
        <v>0</v>
      </c>
      <c r="W54" s="121">
        <v>0</v>
      </c>
      <c r="X54" s="121">
        <v>0</v>
      </c>
      <c r="Y54" s="121">
        <v>0</v>
      </c>
      <c r="Z54" s="121">
        <v>0</v>
      </c>
      <c r="AA54" s="121">
        <v>0</v>
      </c>
      <c r="AB54" s="121">
        <v>0</v>
      </c>
      <c r="AC54" s="121">
        <v>0</v>
      </c>
    </row>
    <row r="55" spans="1:29" ht="22" customHeight="1">
      <c r="B55" s="269" t="str">
        <f t="shared" si="1"/>
        <v>Pesticide-</v>
      </c>
      <c r="C55" s="336" t="s">
        <v>346</v>
      </c>
      <c r="D55" s="334" t="s">
        <v>66</v>
      </c>
      <c r="E55" s="64">
        <v>3.4269999999999996</v>
      </c>
      <c r="F55" s="184">
        <v>0</v>
      </c>
      <c r="G55" s="184">
        <v>0</v>
      </c>
      <c r="H55" s="121">
        <v>0</v>
      </c>
      <c r="I55" s="121">
        <v>0</v>
      </c>
      <c r="J55" s="121">
        <v>0</v>
      </c>
      <c r="K55" s="121">
        <v>0</v>
      </c>
      <c r="L55" s="121">
        <v>4</v>
      </c>
      <c r="M55" s="121">
        <v>3.2</v>
      </c>
      <c r="N55" s="121">
        <v>0</v>
      </c>
      <c r="O55" s="121">
        <v>0</v>
      </c>
      <c r="P55" s="121">
        <v>0</v>
      </c>
      <c r="Q55" s="184">
        <v>0</v>
      </c>
      <c r="R55" s="184">
        <v>0</v>
      </c>
      <c r="S55" s="121">
        <v>0</v>
      </c>
      <c r="T55" s="121">
        <v>0</v>
      </c>
      <c r="U55" s="121">
        <v>0</v>
      </c>
      <c r="V55" s="121">
        <v>0</v>
      </c>
      <c r="W55" s="121">
        <v>0</v>
      </c>
      <c r="X55" s="121">
        <v>3.2</v>
      </c>
      <c r="Y55" s="121">
        <v>0</v>
      </c>
      <c r="Z55" s="121">
        <v>0</v>
      </c>
      <c r="AA55" s="121">
        <v>0</v>
      </c>
      <c r="AB55" s="121">
        <v>0</v>
      </c>
      <c r="AC55" s="121">
        <v>0</v>
      </c>
    </row>
    <row r="56" spans="1:29" ht="21">
      <c r="B56" s="269" t="str">
        <f t="shared" si="1"/>
        <v>Pesticide-</v>
      </c>
      <c r="C56" s="336" t="s">
        <v>347</v>
      </c>
      <c r="D56" s="334" t="s">
        <v>66</v>
      </c>
      <c r="E56" s="64">
        <v>0.51749999999999996</v>
      </c>
      <c r="F56" s="184">
        <v>0</v>
      </c>
      <c r="G56" s="184">
        <v>0</v>
      </c>
      <c r="H56" s="121">
        <v>0</v>
      </c>
      <c r="I56" s="121">
        <v>0</v>
      </c>
      <c r="J56" s="121">
        <v>0</v>
      </c>
      <c r="K56" s="121">
        <v>0</v>
      </c>
      <c r="L56" s="121">
        <v>0</v>
      </c>
      <c r="M56" s="121">
        <v>0</v>
      </c>
      <c r="N56" s="121">
        <v>0</v>
      </c>
      <c r="O56" s="121">
        <v>0</v>
      </c>
      <c r="P56" s="121">
        <v>0</v>
      </c>
      <c r="Q56" s="184">
        <v>0</v>
      </c>
      <c r="R56" s="184">
        <v>0</v>
      </c>
      <c r="S56" s="121">
        <v>0</v>
      </c>
      <c r="T56" s="121">
        <v>0</v>
      </c>
      <c r="U56" s="121">
        <v>0</v>
      </c>
      <c r="V56" s="121">
        <v>0</v>
      </c>
      <c r="W56" s="121">
        <v>0</v>
      </c>
      <c r="X56" s="121">
        <v>0</v>
      </c>
      <c r="Y56" s="121">
        <v>0</v>
      </c>
      <c r="Z56" s="121">
        <v>0</v>
      </c>
      <c r="AA56" s="121">
        <v>0</v>
      </c>
      <c r="AB56" s="121">
        <v>0</v>
      </c>
      <c r="AC56" s="121">
        <v>0</v>
      </c>
    </row>
    <row r="57" spans="1:29" ht="22" customHeight="1">
      <c r="B57" s="269" t="str">
        <f t="shared" si="1"/>
        <v>Pesticide-</v>
      </c>
      <c r="C57" s="336" t="s">
        <v>348</v>
      </c>
      <c r="D57" s="334" t="s">
        <v>66</v>
      </c>
      <c r="E57" s="64">
        <v>4.0594999999999999</v>
      </c>
      <c r="F57" s="184">
        <v>0</v>
      </c>
      <c r="G57" s="184">
        <v>0</v>
      </c>
      <c r="H57" s="121">
        <v>0</v>
      </c>
      <c r="I57" s="121">
        <v>0</v>
      </c>
      <c r="J57" s="121">
        <v>0</v>
      </c>
      <c r="K57" s="121">
        <v>0</v>
      </c>
      <c r="L57" s="121">
        <v>0</v>
      </c>
      <c r="M57" s="121">
        <v>0</v>
      </c>
      <c r="N57" s="121">
        <v>0</v>
      </c>
      <c r="O57" s="121">
        <v>0</v>
      </c>
      <c r="P57" s="121">
        <v>0</v>
      </c>
      <c r="Q57" s="184">
        <v>0</v>
      </c>
      <c r="R57" s="184">
        <v>0</v>
      </c>
      <c r="S57" s="121">
        <v>0</v>
      </c>
      <c r="T57" s="121">
        <v>0</v>
      </c>
      <c r="U57" s="121">
        <v>0</v>
      </c>
      <c r="V57" s="121">
        <v>0</v>
      </c>
      <c r="W57" s="121">
        <v>0</v>
      </c>
      <c r="X57" s="121">
        <v>0</v>
      </c>
      <c r="Y57" s="121">
        <v>0</v>
      </c>
      <c r="Z57" s="121">
        <v>0</v>
      </c>
      <c r="AA57" s="121">
        <v>0</v>
      </c>
      <c r="AB57" s="121">
        <v>0</v>
      </c>
      <c r="AC57" s="121">
        <v>0</v>
      </c>
    </row>
    <row r="58" spans="1:29" ht="20" customHeight="1">
      <c r="A58" s="137"/>
      <c r="B58" s="269" t="str">
        <f t="shared" si="1"/>
        <v>Pesticide-</v>
      </c>
      <c r="C58" s="336" t="s">
        <v>349</v>
      </c>
      <c r="D58" s="334" t="s">
        <v>66</v>
      </c>
      <c r="E58" s="64">
        <v>1.127</v>
      </c>
      <c r="F58" s="184">
        <v>0</v>
      </c>
      <c r="G58" s="184">
        <v>0</v>
      </c>
      <c r="H58" s="121">
        <v>0</v>
      </c>
      <c r="I58" s="121">
        <v>0</v>
      </c>
      <c r="J58" s="121">
        <v>0</v>
      </c>
      <c r="K58" s="121">
        <v>0</v>
      </c>
      <c r="L58" s="121">
        <v>0</v>
      </c>
      <c r="M58" s="121">
        <v>0</v>
      </c>
      <c r="N58" s="121">
        <v>0</v>
      </c>
      <c r="O58" s="121">
        <v>0</v>
      </c>
      <c r="P58" s="121">
        <v>0</v>
      </c>
      <c r="Q58" s="184">
        <v>0</v>
      </c>
      <c r="R58" s="184">
        <v>0</v>
      </c>
      <c r="S58" s="121">
        <v>0</v>
      </c>
      <c r="T58" s="121">
        <v>0</v>
      </c>
      <c r="U58" s="121">
        <v>0</v>
      </c>
      <c r="V58" s="121">
        <v>0</v>
      </c>
      <c r="W58" s="121">
        <v>0</v>
      </c>
      <c r="X58" s="121">
        <v>0</v>
      </c>
      <c r="Y58" s="121">
        <v>0</v>
      </c>
      <c r="Z58" s="121">
        <v>0</v>
      </c>
      <c r="AA58" s="121">
        <v>0</v>
      </c>
      <c r="AB58" s="121">
        <v>0</v>
      </c>
      <c r="AC58" s="121">
        <v>0</v>
      </c>
    </row>
    <row r="59" spans="1:29" s="160" customFormat="1" ht="21">
      <c r="A59" s="425"/>
      <c r="B59" s="269" t="str">
        <f t="shared" si="1"/>
        <v>Pesticide-</v>
      </c>
      <c r="C59" s="336" t="s">
        <v>350</v>
      </c>
      <c r="D59" s="334" t="s">
        <v>66</v>
      </c>
      <c r="E59" s="64">
        <v>1.4834999999999998</v>
      </c>
      <c r="F59" s="184">
        <v>0</v>
      </c>
      <c r="G59" s="184">
        <v>0</v>
      </c>
      <c r="H59" s="184">
        <v>0</v>
      </c>
      <c r="I59" s="121">
        <v>0</v>
      </c>
      <c r="J59" s="121">
        <v>0</v>
      </c>
      <c r="K59" s="121">
        <v>0</v>
      </c>
      <c r="L59" s="169">
        <v>0</v>
      </c>
      <c r="M59" s="121">
        <v>0</v>
      </c>
      <c r="N59" s="121">
        <v>0</v>
      </c>
      <c r="O59" s="121">
        <v>0</v>
      </c>
      <c r="P59" s="121">
        <v>0</v>
      </c>
      <c r="Q59" s="184">
        <v>0</v>
      </c>
      <c r="R59" s="184">
        <v>0</v>
      </c>
      <c r="S59" s="121">
        <v>0</v>
      </c>
      <c r="T59" s="121">
        <v>0</v>
      </c>
      <c r="U59" s="121">
        <v>0</v>
      </c>
      <c r="V59" s="121">
        <v>0</v>
      </c>
      <c r="W59" s="121">
        <v>0</v>
      </c>
      <c r="X59" s="121">
        <v>0</v>
      </c>
      <c r="Y59" s="184">
        <v>0</v>
      </c>
      <c r="Z59" s="121">
        <v>0</v>
      </c>
      <c r="AA59" s="121">
        <v>0</v>
      </c>
      <c r="AB59" s="121">
        <v>0</v>
      </c>
      <c r="AC59" s="121">
        <v>0</v>
      </c>
    </row>
    <row r="60" spans="1:29" s="160" customFormat="1" ht="21" customHeight="1">
      <c r="A60" s="425"/>
      <c r="B60" s="269" t="str">
        <f t="shared" si="1"/>
        <v>Pesticide-</v>
      </c>
      <c r="C60" s="336" t="s">
        <v>351</v>
      </c>
      <c r="D60" s="334" t="s">
        <v>66</v>
      </c>
      <c r="E60" s="64">
        <v>0.26450000000000001</v>
      </c>
      <c r="F60" s="184">
        <v>0</v>
      </c>
      <c r="G60" s="184">
        <v>0</v>
      </c>
      <c r="H60" s="121">
        <v>0</v>
      </c>
      <c r="I60" s="121">
        <v>0</v>
      </c>
      <c r="J60" s="121">
        <v>0</v>
      </c>
      <c r="K60" s="121">
        <v>0</v>
      </c>
      <c r="L60" s="121">
        <v>0</v>
      </c>
      <c r="M60" s="121">
        <v>0</v>
      </c>
      <c r="N60" s="121">
        <v>0</v>
      </c>
      <c r="O60" s="121">
        <v>0</v>
      </c>
      <c r="P60" s="121">
        <v>0</v>
      </c>
      <c r="Q60" s="184">
        <v>0</v>
      </c>
      <c r="R60" s="184">
        <v>0</v>
      </c>
      <c r="S60" s="121">
        <v>0</v>
      </c>
      <c r="T60" s="121">
        <v>0</v>
      </c>
      <c r="U60" s="121">
        <v>0</v>
      </c>
      <c r="V60" s="121">
        <v>0</v>
      </c>
      <c r="W60" s="121">
        <v>0</v>
      </c>
      <c r="X60" s="121">
        <v>0</v>
      </c>
      <c r="Y60" s="121">
        <v>0</v>
      </c>
      <c r="Z60" s="121">
        <v>0</v>
      </c>
      <c r="AA60" s="121">
        <v>0</v>
      </c>
      <c r="AB60" s="121">
        <v>0</v>
      </c>
      <c r="AC60" s="121">
        <v>0</v>
      </c>
    </row>
    <row r="61" spans="1:29" s="160" customFormat="1" ht="21">
      <c r="A61" s="425"/>
      <c r="B61" s="269" t="str">
        <f t="shared" si="1"/>
        <v>Pesticide-</v>
      </c>
      <c r="C61" s="336" t="s">
        <v>352</v>
      </c>
      <c r="D61" s="334" t="s">
        <v>66</v>
      </c>
      <c r="E61" s="64">
        <v>0.77049999999999996</v>
      </c>
      <c r="F61" s="184">
        <v>0</v>
      </c>
      <c r="G61" s="184">
        <v>0</v>
      </c>
      <c r="H61" s="121">
        <v>0</v>
      </c>
      <c r="I61" s="121">
        <v>0</v>
      </c>
      <c r="J61" s="121">
        <v>0</v>
      </c>
      <c r="K61" s="121">
        <v>0</v>
      </c>
      <c r="L61" s="121">
        <v>0</v>
      </c>
      <c r="M61" s="121">
        <v>0</v>
      </c>
      <c r="N61" s="121">
        <v>0</v>
      </c>
      <c r="O61" s="121">
        <v>0</v>
      </c>
      <c r="P61" s="121">
        <v>0</v>
      </c>
      <c r="Q61" s="184">
        <v>0</v>
      </c>
      <c r="R61" s="184">
        <v>0</v>
      </c>
      <c r="S61" s="121">
        <v>0</v>
      </c>
      <c r="T61" s="121">
        <v>0</v>
      </c>
      <c r="U61" s="121">
        <v>0</v>
      </c>
      <c r="V61" s="121">
        <v>0</v>
      </c>
      <c r="W61" s="121">
        <v>0</v>
      </c>
      <c r="X61" s="121">
        <v>0</v>
      </c>
      <c r="Y61" s="121">
        <v>0</v>
      </c>
      <c r="Z61" s="121">
        <v>0</v>
      </c>
      <c r="AA61" s="121">
        <v>0</v>
      </c>
      <c r="AB61" s="121">
        <v>0</v>
      </c>
      <c r="AC61" s="121">
        <v>0</v>
      </c>
    </row>
    <row r="62" spans="1:29" ht="21">
      <c r="A62" s="137"/>
      <c r="B62" s="269" t="str">
        <f t="shared" si="1"/>
        <v>Pesticide-</v>
      </c>
      <c r="C62" s="336" t="s">
        <v>353</v>
      </c>
      <c r="D62" s="334" t="s">
        <v>66</v>
      </c>
      <c r="E62" s="64">
        <v>0.77049999999999996</v>
      </c>
      <c r="F62" s="184">
        <v>0</v>
      </c>
      <c r="G62" s="184">
        <v>0</v>
      </c>
      <c r="H62" s="121">
        <v>0</v>
      </c>
      <c r="I62" s="121">
        <v>0</v>
      </c>
      <c r="J62" s="121">
        <v>0</v>
      </c>
      <c r="K62" s="121">
        <v>0</v>
      </c>
      <c r="L62" s="121">
        <v>0</v>
      </c>
      <c r="M62" s="121">
        <v>0</v>
      </c>
      <c r="N62" s="121">
        <v>0</v>
      </c>
      <c r="O62" s="121">
        <v>0</v>
      </c>
      <c r="P62" s="121">
        <v>0</v>
      </c>
      <c r="Q62" s="184">
        <v>0</v>
      </c>
      <c r="R62" s="184">
        <v>0</v>
      </c>
      <c r="S62" s="121">
        <v>0</v>
      </c>
      <c r="T62" s="121">
        <v>0</v>
      </c>
      <c r="U62" s="121">
        <v>0</v>
      </c>
      <c r="V62" s="121">
        <v>0</v>
      </c>
      <c r="W62" s="121">
        <v>0</v>
      </c>
      <c r="X62" s="121">
        <v>0</v>
      </c>
      <c r="Y62" s="121">
        <v>0</v>
      </c>
      <c r="Z62" s="121">
        <v>0</v>
      </c>
      <c r="AA62" s="121">
        <v>0</v>
      </c>
      <c r="AB62" s="121">
        <v>0</v>
      </c>
      <c r="AC62" s="121">
        <v>0</v>
      </c>
    </row>
    <row r="63" spans="1:29" ht="21">
      <c r="A63" s="137"/>
      <c r="B63" s="269" t="str">
        <f t="shared" si="1"/>
        <v>Pesticide-</v>
      </c>
      <c r="C63" s="336" t="s">
        <v>354</v>
      </c>
      <c r="D63" s="334" t="s">
        <v>66</v>
      </c>
      <c r="E63" s="64">
        <v>0.77049999999999996</v>
      </c>
      <c r="F63" s="184">
        <v>0</v>
      </c>
      <c r="G63" s="184">
        <v>0</v>
      </c>
      <c r="H63" s="121">
        <v>0</v>
      </c>
      <c r="I63" s="121">
        <v>0</v>
      </c>
      <c r="J63" s="121">
        <v>0</v>
      </c>
      <c r="K63" s="121">
        <v>0</v>
      </c>
      <c r="L63" s="121">
        <v>0</v>
      </c>
      <c r="M63" s="121">
        <v>0</v>
      </c>
      <c r="N63" s="121">
        <v>0</v>
      </c>
      <c r="O63" s="121">
        <v>0</v>
      </c>
      <c r="P63" s="121">
        <v>0</v>
      </c>
      <c r="Q63" s="184">
        <v>0</v>
      </c>
      <c r="R63" s="184">
        <v>0</v>
      </c>
      <c r="S63" s="121">
        <v>0</v>
      </c>
      <c r="T63" s="121">
        <v>0</v>
      </c>
      <c r="U63" s="121">
        <v>0</v>
      </c>
      <c r="V63" s="121">
        <v>0</v>
      </c>
      <c r="W63" s="121">
        <v>0</v>
      </c>
      <c r="X63" s="121">
        <v>0</v>
      </c>
      <c r="Y63" s="121">
        <v>0</v>
      </c>
      <c r="Z63" s="121">
        <v>0</v>
      </c>
      <c r="AA63" s="121">
        <v>0</v>
      </c>
      <c r="AB63" s="121">
        <v>0</v>
      </c>
      <c r="AC63" s="121">
        <v>0</v>
      </c>
    </row>
    <row r="64" spans="1:29" ht="21">
      <c r="A64" s="137"/>
      <c r="B64" s="269" t="str">
        <f t="shared" si="1"/>
        <v>Pesticide-</v>
      </c>
      <c r="C64" s="336" t="s">
        <v>355</v>
      </c>
      <c r="D64" s="334" t="s">
        <v>66</v>
      </c>
      <c r="E64" s="64">
        <v>0.88549999999999995</v>
      </c>
      <c r="F64" s="184">
        <v>4</v>
      </c>
      <c r="G64" s="184">
        <v>4</v>
      </c>
      <c r="H64" s="121">
        <v>4</v>
      </c>
      <c r="I64" s="121">
        <v>0</v>
      </c>
      <c r="J64" s="121">
        <v>4</v>
      </c>
      <c r="K64" s="121">
        <v>0</v>
      </c>
      <c r="L64" s="121">
        <v>0</v>
      </c>
      <c r="M64" s="121">
        <v>0</v>
      </c>
      <c r="N64" s="121">
        <v>0</v>
      </c>
      <c r="O64" s="121">
        <v>0</v>
      </c>
      <c r="P64" s="121">
        <v>0</v>
      </c>
      <c r="Q64" s="184">
        <v>4</v>
      </c>
      <c r="R64" s="184">
        <v>4</v>
      </c>
      <c r="S64" s="121">
        <v>0</v>
      </c>
      <c r="T64" s="121">
        <v>0</v>
      </c>
      <c r="U64" s="121">
        <v>4</v>
      </c>
      <c r="V64" s="121">
        <v>4</v>
      </c>
      <c r="W64" s="121">
        <v>4</v>
      </c>
      <c r="X64" s="121">
        <v>0</v>
      </c>
      <c r="Y64" s="121">
        <v>4</v>
      </c>
      <c r="Z64" s="121">
        <v>4</v>
      </c>
      <c r="AA64" s="121">
        <v>0</v>
      </c>
      <c r="AB64" s="121">
        <v>4</v>
      </c>
      <c r="AC64" s="121">
        <v>0</v>
      </c>
    </row>
    <row r="65" spans="1:29" s="160" customFormat="1" ht="21">
      <c r="A65" s="425"/>
      <c r="B65" s="269" t="str">
        <f t="shared" si="1"/>
        <v>Pesticide-</v>
      </c>
      <c r="C65" s="336" t="s">
        <v>356</v>
      </c>
      <c r="D65" s="334" t="s">
        <v>66</v>
      </c>
      <c r="E65" s="64">
        <v>0.35649999999999998</v>
      </c>
      <c r="F65" s="184">
        <v>0</v>
      </c>
      <c r="G65" s="184">
        <v>0</v>
      </c>
      <c r="H65" s="121">
        <v>0</v>
      </c>
      <c r="I65" s="121">
        <v>0</v>
      </c>
      <c r="J65" s="121">
        <v>0</v>
      </c>
      <c r="K65" s="121">
        <v>0</v>
      </c>
      <c r="L65" s="121">
        <v>0</v>
      </c>
      <c r="M65" s="121">
        <v>0</v>
      </c>
      <c r="N65" s="121">
        <v>0</v>
      </c>
      <c r="O65" s="121">
        <v>0</v>
      </c>
      <c r="P65" s="121">
        <v>0</v>
      </c>
      <c r="Q65" s="184">
        <v>0</v>
      </c>
      <c r="R65" s="184">
        <v>0</v>
      </c>
      <c r="S65" s="121">
        <v>0</v>
      </c>
      <c r="T65" s="121">
        <v>0</v>
      </c>
      <c r="U65" s="121">
        <v>0</v>
      </c>
      <c r="V65" s="121">
        <v>0</v>
      </c>
      <c r="W65" s="121">
        <v>0</v>
      </c>
      <c r="X65" s="121">
        <v>0</v>
      </c>
      <c r="Y65" s="121">
        <v>0</v>
      </c>
      <c r="Z65" s="121">
        <v>0</v>
      </c>
      <c r="AA65" s="121">
        <v>0</v>
      </c>
      <c r="AB65" s="121">
        <v>0</v>
      </c>
      <c r="AC65" s="121">
        <v>0</v>
      </c>
    </row>
    <row r="66" spans="1:29" ht="21">
      <c r="A66" s="137"/>
      <c r="B66" s="269" t="str">
        <f t="shared" si="1"/>
        <v>Pesticide-</v>
      </c>
      <c r="C66" s="341" t="s">
        <v>357</v>
      </c>
      <c r="D66" s="342" t="s">
        <v>66</v>
      </c>
      <c r="E66" s="343">
        <v>6.3134999999999994</v>
      </c>
      <c r="F66" s="344">
        <v>0</v>
      </c>
      <c r="G66" s="344">
        <v>0</v>
      </c>
      <c r="H66" s="345">
        <v>0</v>
      </c>
      <c r="I66" s="121">
        <v>0</v>
      </c>
      <c r="J66" s="345">
        <v>0</v>
      </c>
      <c r="K66" s="345">
        <v>2</v>
      </c>
      <c r="L66" s="345">
        <v>2</v>
      </c>
      <c r="M66" s="345">
        <v>2</v>
      </c>
      <c r="N66" s="345">
        <v>0</v>
      </c>
      <c r="O66" s="345">
        <v>0</v>
      </c>
      <c r="P66" s="345">
        <v>0</v>
      </c>
      <c r="Q66" s="344">
        <v>0</v>
      </c>
      <c r="R66" s="344">
        <v>0</v>
      </c>
      <c r="S66" s="345">
        <v>0</v>
      </c>
      <c r="T66" s="345">
        <v>0</v>
      </c>
      <c r="U66" s="345">
        <v>0</v>
      </c>
      <c r="V66" s="345">
        <v>0</v>
      </c>
      <c r="W66" s="345">
        <v>0</v>
      </c>
      <c r="X66" s="345">
        <v>0</v>
      </c>
      <c r="Y66" s="345">
        <v>0</v>
      </c>
      <c r="Z66" s="345">
        <v>0</v>
      </c>
      <c r="AA66" s="345">
        <v>2</v>
      </c>
      <c r="AB66" s="345">
        <v>0</v>
      </c>
      <c r="AC66" s="345">
        <v>0</v>
      </c>
    </row>
    <row r="67" spans="1:29" ht="21">
      <c r="A67" s="137"/>
      <c r="B67" s="269" t="str">
        <f t="shared" si="1"/>
        <v>Pesticide-</v>
      </c>
      <c r="C67" s="341" t="s">
        <v>358</v>
      </c>
      <c r="D67" s="342" t="s">
        <v>66</v>
      </c>
      <c r="E67" s="343">
        <v>0.45999999999999996</v>
      </c>
      <c r="F67" s="344">
        <v>0</v>
      </c>
      <c r="G67" s="344">
        <v>0</v>
      </c>
      <c r="H67" s="344">
        <v>0</v>
      </c>
      <c r="I67" s="121">
        <v>0</v>
      </c>
      <c r="J67" s="345">
        <v>0</v>
      </c>
      <c r="K67" s="345">
        <v>4</v>
      </c>
      <c r="L67" s="345">
        <v>0</v>
      </c>
      <c r="M67" s="345">
        <v>4</v>
      </c>
      <c r="N67" s="345">
        <v>0</v>
      </c>
      <c r="O67" s="345">
        <v>0</v>
      </c>
      <c r="P67" s="345">
        <v>0</v>
      </c>
      <c r="Q67" s="344">
        <v>0</v>
      </c>
      <c r="R67" s="344">
        <v>0</v>
      </c>
      <c r="S67" s="345">
        <v>0</v>
      </c>
      <c r="T67" s="345">
        <v>0</v>
      </c>
      <c r="U67" s="345">
        <v>0</v>
      </c>
      <c r="V67" s="345">
        <v>0</v>
      </c>
      <c r="W67" s="345">
        <v>0</v>
      </c>
      <c r="X67" s="345">
        <v>4</v>
      </c>
      <c r="Y67" s="344">
        <v>0</v>
      </c>
      <c r="Z67" s="345">
        <v>0</v>
      </c>
      <c r="AA67" s="345">
        <v>4</v>
      </c>
      <c r="AB67" s="345">
        <v>0</v>
      </c>
      <c r="AC67" s="345">
        <v>0</v>
      </c>
    </row>
    <row r="68" spans="1:29" ht="21">
      <c r="A68" s="137"/>
      <c r="B68" s="269" t="str">
        <f t="shared" si="1"/>
        <v>Pesticide-</v>
      </c>
      <c r="C68" s="341" t="s">
        <v>359</v>
      </c>
      <c r="D68" s="342" t="s">
        <v>245</v>
      </c>
      <c r="E68" s="343">
        <v>3.4499999999999997</v>
      </c>
      <c r="F68" s="344">
        <v>0</v>
      </c>
      <c r="G68" s="344">
        <v>0</v>
      </c>
      <c r="H68" s="345">
        <v>0</v>
      </c>
      <c r="I68" s="121">
        <v>0</v>
      </c>
      <c r="J68" s="345">
        <v>0</v>
      </c>
      <c r="K68" s="345">
        <v>1</v>
      </c>
      <c r="L68" s="345">
        <v>0</v>
      </c>
      <c r="M68" s="345">
        <v>1</v>
      </c>
      <c r="N68" s="345">
        <v>0</v>
      </c>
      <c r="O68" s="345">
        <v>0</v>
      </c>
      <c r="P68" s="345">
        <v>0</v>
      </c>
      <c r="Q68" s="344">
        <v>0</v>
      </c>
      <c r="R68" s="344">
        <v>0</v>
      </c>
      <c r="S68" s="345">
        <v>0</v>
      </c>
      <c r="T68" s="345">
        <v>0</v>
      </c>
      <c r="U68" s="345">
        <v>0</v>
      </c>
      <c r="V68" s="345">
        <v>0</v>
      </c>
      <c r="W68" s="345">
        <v>0</v>
      </c>
      <c r="X68" s="345">
        <v>0</v>
      </c>
      <c r="Y68" s="345">
        <v>0</v>
      </c>
      <c r="Z68" s="345">
        <v>0</v>
      </c>
      <c r="AA68" s="345">
        <v>1</v>
      </c>
      <c r="AB68" s="345">
        <v>0</v>
      </c>
      <c r="AC68" s="345">
        <v>0</v>
      </c>
    </row>
    <row r="69" spans="1:29" s="160" customFormat="1" ht="21">
      <c r="A69" s="425"/>
      <c r="B69" s="269" t="str">
        <f t="shared" si="1"/>
        <v>Pesticide-</v>
      </c>
      <c r="C69" s="341" t="s">
        <v>360</v>
      </c>
      <c r="D69" s="342" t="s">
        <v>118</v>
      </c>
      <c r="E69" s="343">
        <v>26.565000000000001</v>
      </c>
      <c r="F69" s="344">
        <v>0</v>
      </c>
      <c r="G69" s="344">
        <v>0</v>
      </c>
      <c r="H69" s="345">
        <v>0</v>
      </c>
      <c r="I69" s="121">
        <v>0</v>
      </c>
      <c r="J69" s="345">
        <v>0</v>
      </c>
      <c r="K69" s="345">
        <v>0</v>
      </c>
      <c r="L69" s="345">
        <v>0</v>
      </c>
      <c r="M69" s="345">
        <v>0</v>
      </c>
      <c r="N69" s="345">
        <v>0</v>
      </c>
      <c r="O69" s="345">
        <v>0</v>
      </c>
      <c r="P69" s="345">
        <v>0</v>
      </c>
      <c r="Q69" s="344">
        <v>0</v>
      </c>
      <c r="R69" s="344">
        <v>0</v>
      </c>
      <c r="S69" s="345">
        <v>0</v>
      </c>
      <c r="T69" s="345">
        <v>0</v>
      </c>
      <c r="U69" s="345">
        <v>0</v>
      </c>
      <c r="V69" s="345">
        <v>0</v>
      </c>
      <c r="W69" s="345">
        <v>0</v>
      </c>
      <c r="X69" s="345">
        <v>1.25</v>
      </c>
      <c r="Y69" s="345">
        <v>0</v>
      </c>
      <c r="Z69" s="345">
        <v>0</v>
      </c>
      <c r="AA69" s="345">
        <v>0</v>
      </c>
      <c r="AB69" s="345">
        <v>0</v>
      </c>
      <c r="AC69" s="345">
        <v>0</v>
      </c>
    </row>
    <row r="70" spans="1:29" s="160" customFormat="1" ht="21">
      <c r="A70" s="425"/>
      <c r="B70" s="269" t="str">
        <f t="shared" si="1"/>
        <v>Pesticide-</v>
      </c>
      <c r="C70" s="341" t="s">
        <v>361</v>
      </c>
      <c r="D70" s="342" t="s">
        <v>66</v>
      </c>
      <c r="E70" s="343">
        <v>6.6124999999999998</v>
      </c>
      <c r="F70" s="344">
        <v>0</v>
      </c>
      <c r="G70" s="344">
        <v>0</v>
      </c>
      <c r="H70" s="345">
        <v>0</v>
      </c>
      <c r="I70" s="121">
        <v>0</v>
      </c>
      <c r="J70" s="345">
        <v>0</v>
      </c>
      <c r="K70" s="345">
        <v>0</v>
      </c>
      <c r="L70" s="345">
        <v>1</v>
      </c>
      <c r="M70" s="345">
        <v>0</v>
      </c>
      <c r="N70" s="345">
        <v>0</v>
      </c>
      <c r="O70" s="345">
        <v>0</v>
      </c>
      <c r="P70" s="345">
        <v>0</v>
      </c>
      <c r="Q70" s="344">
        <v>0</v>
      </c>
      <c r="R70" s="344">
        <v>0</v>
      </c>
      <c r="S70" s="345">
        <v>0</v>
      </c>
      <c r="T70" s="345">
        <v>0</v>
      </c>
      <c r="U70" s="345">
        <v>0</v>
      </c>
      <c r="V70" s="345">
        <v>0</v>
      </c>
      <c r="W70" s="345">
        <v>0</v>
      </c>
      <c r="X70" s="345">
        <v>0</v>
      </c>
      <c r="Y70" s="345">
        <v>0</v>
      </c>
      <c r="Z70" s="345">
        <v>0</v>
      </c>
      <c r="AA70" s="345">
        <v>0</v>
      </c>
      <c r="AB70" s="345">
        <v>0</v>
      </c>
      <c r="AC70" s="345">
        <v>0</v>
      </c>
    </row>
    <row r="71" spans="1:29" s="160" customFormat="1" ht="21">
      <c r="A71" s="425"/>
      <c r="B71" s="269" t="str">
        <f t="shared" si="1"/>
        <v>Pesticide-</v>
      </c>
      <c r="C71" s="341" t="s">
        <v>362</v>
      </c>
      <c r="D71" s="342" t="s">
        <v>66</v>
      </c>
      <c r="E71" s="343">
        <v>0.43699999999999994</v>
      </c>
      <c r="F71" s="344">
        <v>0</v>
      </c>
      <c r="G71" s="344">
        <v>0</v>
      </c>
      <c r="H71" s="345">
        <v>0</v>
      </c>
      <c r="I71" s="121">
        <v>0</v>
      </c>
      <c r="J71" s="345">
        <v>0</v>
      </c>
      <c r="K71" s="345">
        <v>0</v>
      </c>
      <c r="L71" s="345">
        <v>0</v>
      </c>
      <c r="M71" s="345">
        <v>0</v>
      </c>
      <c r="N71" s="345">
        <v>0</v>
      </c>
      <c r="O71" s="345">
        <v>0</v>
      </c>
      <c r="P71" s="345">
        <v>0</v>
      </c>
      <c r="Q71" s="344">
        <v>0</v>
      </c>
      <c r="R71" s="344">
        <v>0</v>
      </c>
      <c r="S71" s="345">
        <v>0</v>
      </c>
      <c r="T71" s="345">
        <v>0</v>
      </c>
      <c r="U71" s="345">
        <v>0</v>
      </c>
      <c r="V71" s="345">
        <v>0</v>
      </c>
      <c r="W71" s="345">
        <v>0</v>
      </c>
      <c r="X71" s="345">
        <v>0</v>
      </c>
      <c r="Y71" s="345">
        <v>0</v>
      </c>
      <c r="Z71" s="345">
        <v>0</v>
      </c>
      <c r="AA71" s="345">
        <v>0</v>
      </c>
      <c r="AB71" s="345">
        <v>0</v>
      </c>
      <c r="AC71" s="345">
        <v>0</v>
      </c>
    </row>
    <row r="72" spans="1:29" s="160" customFormat="1" ht="21">
      <c r="A72" s="425"/>
      <c r="B72" s="269" t="str">
        <f t="shared" si="1"/>
        <v>Pesticide-</v>
      </c>
      <c r="C72" s="341" t="s">
        <v>363</v>
      </c>
      <c r="D72" s="342" t="s">
        <v>66</v>
      </c>
      <c r="E72" s="343">
        <v>2.0469999999999997</v>
      </c>
      <c r="F72" s="344">
        <v>0</v>
      </c>
      <c r="G72" s="344">
        <v>0</v>
      </c>
      <c r="H72" s="345">
        <v>0</v>
      </c>
      <c r="I72" s="121">
        <v>0</v>
      </c>
      <c r="J72" s="345">
        <v>0</v>
      </c>
      <c r="K72" s="345">
        <v>0</v>
      </c>
      <c r="L72" s="345">
        <v>0</v>
      </c>
      <c r="M72" s="345">
        <v>0</v>
      </c>
      <c r="N72" s="345">
        <v>0</v>
      </c>
      <c r="O72" s="345">
        <v>0</v>
      </c>
      <c r="P72" s="345">
        <v>0</v>
      </c>
      <c r="Q72" s="344">
        <v>0</v>
      </c>
      <c r="R72" s="344">
        <v>0</v>
      </c>
      <c r="S72" s="345">
        <v>0</v>
      </c>
      <c r="T72" s="345">
        <v>0</v>
      </c>
      <c r="U72" s="345">
        <v>0</v>
      </c>
      <c r="V72" s="345">
        <v>0</v>
      </c>
      <c r="W72" s="345">
        <v>0</v>
      </c>
      <c r="X72" s="345">
        <v>0</v>
      </c>
      <c r="Y72" s="345">
        <v>0</v>
      </c>
      <c r="Z72" s="345">
        <v>0</v>
      </c>
      <c r="AA72" s="345">
        <v>0</v>
      </c>
      <c r="AB72" s="345">
        <v>0</v>
      </c>
      <c r="AC72" s="345">
        <v>0</v>
      </c>
    </row>
    <row r="73" spans="1:29" ht="21">
      <c r="A73" s="137"/>
      <c r="B73" s="269" t="s">
        <v>98</v>
      </c>
      <c r="D73" s="270" t="s">
        <v>245</v>
      </c>
      <c r="E73" s="310" t="s">
        <v>8</v>
      </c>
      <c r="F73" s="185">
        <v>20</v>
      </c>
      <c r="G73" s="185">
        <v>20</v>
      </c>
      <c r="H73" s="120">
        <v>16</v>
      </c>
      <c r="I73" s="93">
        <v>0</v>
      </c>
      <c r="J73" s="119">
        <v>17</v>
      </c>
      <c r="K73" s="119">
        <v>18</v>
      </c>
      <c r="L73" s="93">
        <v>22</v>
      </c>
      <c r="M73" s="119">
        <v>18</v>
      </c>
      <c r="N73" s="120">
        <v>0</v>
      </c>
      <c r="O73" s="120">
        <v>0</v>
      </c>
      <c r="P73" s="120">
        <v>0</v>
      </c>
      <c r="Q73" s="185">
        <v>20</v>
      </c>
      <c r="R73" s="185">
        <v>20</v>
      </c>
      <c r="S73" s="119">
        <v>0</v>
      </c>
      <c r="T73" s="119">
        <v>0</v>
      </c>
      <c r="U73" s="120">
        <v>22</v>
      </c>
      <c r="V73" s="120">
        <v>18</v>
      </c>
      <c r="W73" s="120">
        <v>18</v>
      </c>
      <c r="X73" s="119">
        <v>18</v>
      </c>
      <c r="Y73" s="120">
        <v>16</v>
      </c>
      <c r="Z73" s="119">
        <v>17</v>
      </c>
      <c r="AA73" s="119">
        <v>18</v>
      </c>
      <c r="AB73" s="120">
        <v>18</v>
      </c>
      <c r="AC73" s="120">
        <v>0</v>
      </c>
    </row>
    <row r="74" spans="1:29" ht="21">
      <c r="A74" s="137"/>
      <c r="B74" s="64"/>
      <c r="F74" s="142"/>
      <c r="G74" s="142"/>
      <c r="H74" s="142"/>
      <c r="I74" s="177"/>
      <c r="J74" s="142"/>
      <c r="K74" s="142"/>
      <c r="L74" s="142"/>
      <c r="M74" s="142"/>
      <c r="N74" s="143"/>
      <c r="O74" s="143"/>
      <c r="P74" s="143"/>
      <c r="Q74" s="142"/>
      <c r="R74" s="142"/>
      <c r="S74" s="142"/>
      <c r="T74" s="142"/>
      <c r="U74" s="142"/>
      <c r="V74" s="142"/>
      <c r="W74" s="142"/>
      <c r="X74" s="142"/>
      <c r="Y74" s="142"/>
      <c r="Z74" s="142"/>
      <c r="AA74" s="142"/>
      <c r="AB74" s="142"/>
      <c r="AC74" s="143"/>
    </row>
    <row r="75" spans="1:29" ht="21">
      <c r="A75" s="137"/>
      <c r="B75" s="64"/>
      <c r="F75" s="142"/>
      <c r="G75" s="142"/>
      <c r="H75" s="142"/>
      <c r="I75" s="177"/>
      <c r="J75" s="142"/>
      <c r="K75" s="142"/>
      <c r="L75" s="142"/>
      <c r="M75" s="142"/>
      <c r="N75" s="143"/>
      <c r="O75" s="143"/>
      <c r="P75" s="143"/>
      <c r="Q75" s="142"/>
      <c r="R75" s="142"/>
      <c r="S75" s="142"/>
      <c r="T75" s="142"/>
      <c r="U75" s="142"/>
      <c r="V75" s="142"/>
      <c r="W75" s="142"/>
      <c r="X75" s="142"/>
      <c r="Y75" s="142"/>
      <c r="Z75" s="142"/>
      <c r="AA75" s="142"/>
      <c r="AB75" s="142"/>
      <c r="AC75" s="143"/>
    </row>
    <row r="76" spans="1:29" ht="21">
      <c r="A76" s="137"/>
      <c r="B76" s="64"/>
      <c r="F76" s="142"/>
      <c r="G76" s="142"/>
      <c r="H76" s="142"/>
      <c r="I76" s="177"/>
      <c r="J76" s="142"/>
      <c r="K76" s="142"/>
      <c r="L76" s="142"/>
      <c r="M76" s="142"/>
      <c r="N76" s="143"/>
      <c r="O76" s="143"/>
      <c r="P76" s="143"/>
      <c r="Q76" s="142"/>
      <c r="R76" s="142"/>
      <c r="S76" s="142"/>
      <c r="T76" s="142"/>
      <c r="U76" s="142"/>
      <c r="V76" s="142"/>
      <c r="W76" s="142"/>
      <c r="X76" s="142"/>
      <c r="Y76" s="142"/>
      <c r="Z76" s="142"/>
      <c r="AA76" s="142"/>
      <c r="AB76" s="142"/>
      <c r="AC76" s="143"/>
    </row>
    <row r="77" spans="1:29" ht="21">
      <c r="A77" s="137"/>
      <c r="B77" s="64"/>
      <c r="F77" s="142"/>
      <c r="G77" s="142"/>
      <c r="H77" s="142"/>
      <c r="I77" s="177"/>
      <c r="J77" s="142"/>
      <c r="K77" s="142"/>
      <c r="L77" s="142"/>
      <c r="M77" s="142"/>
      <c r="N77" s="143"/>
      <c r="O77" s="143"/>
      <c r="P77" s="143"/>
      <c r="Q77" s="142"/>
      <c r="R77" s="142"/>
      <c r="S77" s="142"/>
      <c r="T77" s="142"/>
      <c r="U77" s="142"/>
      <c r="V77" s="142"/>
      <c r="W77" s="142"/>
      <c r="X77" s="142"/>
      <c r="Y77" s="142"/>
      <c r="Z77" s="142"/>
      <c r="AA77" s="142"/>
      <c r="AB77" s="142"/>
      <c r="AC77" s="143"/>
    </row>
    <row r="78" spans="1:29" ht="21">
      <c r="A78" s="137"/>
      <c r="B78" s="64"/>
      <c r="F78" s="142"/>
      <c r="G78" s="142"/>
      <c r="H78" s="142"/>
      <c r="I78" s="177"/>
      <c r="J78" s="142"/>
      <c r="K78" s="142"/>
      <c r="L78" s="142"/>
      <c r="M78" s="142"/>
      <c r="N78" s="143"/>
      <c r="O78" s="143"/>
      <c r="P78" s="143"/>
      <c r="Q78" s="142"/>
      <c r="R78" s="142"/>
      <c r="S78" s="142"/>
      <c r="T78" s="142"/>
      <c r="U78" s="142"/>
      <c r="V78" s="142"/>
      <c r="W78" s="142"/>
      <c r="X78" s="142"/>
      <c r="Y78" s="142"/>
      <c r="Z78" s="142"/>
      <c r="AA78" s="142"/>
      <c r="AB78" s="142"/>
      <c r="AC78" s="143"/>
    </row>
    <row r="79" spans="1:29" ht="20">
      <c r="A79" s="137"/>
      <c r="B79" s="64"/>
    </row>
    <row r="80" spans="1:29" ht="20">
      <c r="A80" s="137"/>
      <c r="B80" s="64"/>
    </row>
    <row r="81" spans="1:29" ht="20">
      <c r="A81" s="137"/>
      <c r="B81" s="64"/>
      <c r="E81" s="2"/>
    </row>
    <row r="82" spans="1:29" ht="20">
      <c r="A82" s="137"/>
      <c r="B82" s="64"/>
      <c r="E82" s="2"/>
    </row>
    <row r="83" spans="1:29" ht="20">
      <c r="A83" s="137"/>
      <c r="B83" s="64"/>
      <c r="E83" s="2"/>
    </row>
    <row r="84" spans="1:29" ht="20">
      <c r="A84" s="136"/>
      <c r="B84" s="69"/>
      <c r="D84" s="69"/>
      <c r="E84" s="179"/>
    </row>
    <row r="85" spans="1:29" ht="20">
      <c r="A85" s="427"/>
      <c r="B85" s="66"/>
      <c r="D85" s="66"/>
      <c r="E85" s="180"/>
    </row>
    <row r="86" spans="1:29" ht="20">
      <c r="A86" s="428"/>
      <c r="B86" s="67"/>
      <c r="D86" s="67"/>
      <c r="E86" s="311"/>
    </row>
    <row r="87" spans="1:29" ht="20">
      <c r="A87" s="429"/>
      <c r="B87" s="68"/>
      <c r="C87" s="68"/>
      <c r="D87" s="68"/>
      <c r="E87" s="181"/>
    </row>
    <row r="88" spans="1:29" ht="20">
      <c r="A88" s="429"/>
      <c r="B88" s="68"/>
      <c r="C88" s="68"/>
      <c r="D88" s="68"/>
      <c r="E88" s="181"/>
    </row>
    <row r="89" spans="1:29" ht="20">
      <c r="A89" s="136"/>
      <c r="B89" s="69"/>
      <c r="C89" s="69"/>
      <c r="D89" s="69"/>
      <c r="E89" s="179"/>
    </row>
    <row r="90" spans="1:29" ht="20">
      <c r="A90" s="136"/>
      <c r="B90" s="69"/>
      <c r="C90" s="69"/>
      <c r="D90" s="69"/>
      <c r="E90" s="179"/>
    </row>
    <row r="91" spans="1:29" ht="20">
      <c r="A91" s="430"/>
      <c r="B91" s="63"/>
      <c r="C91" s="63"/>
      <c r="D91" s="63"/>
      <c r="E91" s="182"/>
      <c r="F91" s="64"/>
      <c r="G91" s="64"/>
      <c r="H91" s="64"/>
      <c r="I91" s="178"/>
      <c r="K91" s="64"/>
      <c r="L91" s="161"/>
      <c r="M91" s="64"/>
      <c r="N91" s="64"/>
      <c r="O91" s="64"/>
      <c r="P91" s="64"/>
      <c r="Q91" s="64"/>
      <c r="R91" s="64"/>
      <c r="S91" s="64"/>
      <c r="T91" s="64"/>
      <c r="U91" s="64"/>
      <c r="V91" s="64"/>
      <c r="W91" s="64"/>
      <c r="X91" s="64"/>
      <c r="Y91" s="64"/>
      <c r="Z91" s="161"/>
      <c r="AA91" s="64"/>
      <c r="AB91" s="64"/>
      <c r="AC91" s="64"/>
    </row>
    <row r="92" spans="1:29" ht="20">
      <c r="A92" s="138"/>
      <c r="B92" s="70"/>
      <c r="C92" s="70"/>
      <c r="D92" s="70"/>
      <c r="E92" s="171"/>
      <c r="F92" s="64"/>
      <c r="G92" s="64"/>
      <c r="H92" s="64"/>
      <c r="I92" s="178"/>
      <c r="J92" s="64"/>
      <c r="K92" s="64"/>
      <c r="L92" s="161"/>
      <c r="M92" s="64"/>
      <c r="N92" s="64"/>
      <c r="O92" s="64"/>
      <c r="P92" s="64"/>
      <c r="Q92" s="64"/>
      <c r="R92" s="64"/>
      <c r="S92" s="64"/>
      <c r="T92" s="64"/>
      <c r="U92" s="64"/>
      <c r="V92" s="64"/>
      <c r="W92" s="64"/>
      <c r="X92" s="64"/>
      <c r="Y92" s="64"/>
      <c r="Z92" s="161"/>
      <c r="AA92" s="64"/>
      <c r="AB92" s="64"/>
      <c r="AC92" s="64"/>
    </row>
    <row r="93" spans="1:29" ht="20">
      <c r="A93" s="431"/>
      <c r="B93" s="71"/>
      <c r="C93" s="71"/>
      <c r="D93" s="71"/>
      <c r="E93" s="183"/>
      <c r="F93" s="64"/>
      <c r="G93" s="64"/>
      <c r="H93" s="64"/>
      <c r="I93" s="178"/>
      <c r="J93" s="64"/>
      <c r="K93" s="64"/>
      <c r="L93" s="161"/>
      <c r="M93" s="64"/>
      <c r="N93" s="64"/>
      <c r="O93" s="64"/>
      <c r="P93" s="64"/>
      <c r="Q93" s="64"/>
      <c r="R93" s="64"/>
      <c r="S93" s="64"/>
      <c r="T93" s="64"/>
      <c r="U93" s="64"/>
      <c r="V93" s="64"/>
      <c r="W93" s="64"/>
      <c r="X93" s="64"/>
      <c r="Y93" s="64"/>
      <c r="Z93" s="161"/>
      <c r="AA93" s="64"/>
      <c r="AB93" s="64"/>
      <c r="AC93" s="64"/>
    </row>
    <row r="94" spans="1:29" ht="20">
      <c r="A94" s="5"/>
      <c r="B94" s="2"/>
      <c r="C94" s="2"/>
      <c r="D94" s="2"/>
      <c r="E94" s="2"/>
      <c r="F94" s="64"/>
      <c r="G94" s="64"/>
      <c r="H94" s="64"/>
      <c r="I94" s="178"/>
      <c r="J94" s="64"/>
      <c r="K94" s="64"/>
      <c r="L94" s="161"/>
      <c r="M94" s="64"/>
      <c r="N94" s="64"/>
      <c r="O94" s="64"/>
      <c r="P94" s="64"/>
      <c r="Q94" s="64"/>
      <c r="R94" s="64"/>
      <c r="S94" s="64"/>
      <c r="T94" s="64"/>
      <c r="U94" s="64"/>
      <c r="V94" s="64"/>
      <c r="W94" s="64"/>
      <c r="X94" s="64"/>
      <c r="Y94" s="64"/>
      <c r="Z94" s="161"/>
      <c r="AA94" s="64"/>
      <c r="AB94" s="64"/>
      <c r="AC94" s="64"/>
    </row>
    <row r="95" spans="1:29" ht="20">
      <c r="A95" s="5"/>
      <c r="B95" s="2"/>
      <c r="C95" s="2"/>
      <c r="D95" s="2"/>
      <c r="E95" s="2"/>
      <c r="F95" s="64"/>
      <c r="G95" s="64"/>
      <c r="H95" s="64"/>
      <c r="I95" s="178"/>
      <c r="J95" s="64"/>
      <c r="K95" s="64"/>
      <c r="L95" s="161"/>
      <c r="M95" s="64"/>
      <c r="N95" s="64"/>
      <c r="O95" s="64"/>
      <c r="P95" s="64"/>
      <c r="Q95" s="64"/>
      <c r="R95" s="64"/>
      <c r="S95" s="64"/>
      <c r="T95" s="64"/>
      <c r="U95" s="64"/>
      <c r="V95" s="64"/>
      <c r="W95" s="64"/>
      <c r="X95" s="64"/>
      <c r="Y95" s="64"/>
      <c r="Z95" s="161"/>
      <c r="AA95" s="64"/>
      <c r="AB95" s="64"/>
      <c r="AC95" s="64"/>
    </row>
    <row r="96" spans="1:29" ht="20">
      <c r="A96" s="5"/>
      <c r="B96" s="2"/>
      <c r="C96" s="2"/>
      <c r="D96" s="2"/>
      <c r="E96" s="2"/>
      <c r="F96" s="64"/>
      <c r="G96" s="64"/>
      <c r="H96" s="64"/>
      <c r="I96" s="178"/>
      <c r="J96" s="64"/>
      <c r="K96" s="64"/>
      <c r="L96" s="161"/>
      <c r="M96" s="64"/>
      <c r="N96" s="64"/>
      <c r="O96" s="64"/>
      <c r="P96" s="64"/>
      <c r="Q96" s="64"/>
      <c r="R96" s="64"/>
      <c r="S96" s="64"/>
      <c r="T96" s="64"/>
      <c r="U96" s="64"/>
      <c r="V96" s="64"/>
      <c r="W96" s="64"/>
      <c r="X96" s="64"/>
      <c r="Y96" s="64"/>
      <c r="Z96" s="161"/>
      <c r="AA96" s="64"/>
      <c r="AB96" s="64"/>
      <c r="AC96" s="64"/>
    </row>
    <row r="97" spans="1:29" ht="20">
      <c r="A97" s="5"/>
      <c r="B97" s="2"/>
      <c r="C97" s="2"/>
      <c r="D97" s="2"/>
      <c r="E97" s="2"/>
      <c r="F97" s="64"/>
      <c r="G97" s="64"/>
      <c r="H97" s="64"/>
      <c r="I97" s="178"/>
      <c r="J97" s="64"/>
      <c r="K97" s="64"/>
      <c r="L97" s="161"/>
      <c r="M97" s="64"/>
      <c r="N97" s="64"/>
      <c r="O97" s="64"/>
      <c r="P97" s="64"/>
      <c r="Q97" s="64"/>
      <c r="R97" s="64"/>
      <c r="S97" s="64"/>
      <c r="T97" s="64"/>
      <c r="U97" s="64"/>
      <c r="V97" s="64"/>
      <c r="W97" s="64"/>
      <c r="X97" s="64"/>
      <c r="Y97" s="64"/>
      <c r="Z97" s="161"/>
      <c r="AA97" s="64"/>
      <c r="AB97" s="64"/>
      <c r="AC97" s="64"/>
    </row>
    <row r="98" spans="1:29" ht="20">
      <c r="A98" s="5"/>
      <c r="B98" s="2"/>
      <c r="C98" s="2"/>
      <c r="D98" s="2"/>
      <c r="E98" s="2"/>
      <c r="F98" s="64"/>
      <c r="G98" s="64"/>
      <c r="H98" s="64"/>
      <c r="I98" s="178"/>
      <c r="J98" s="64"/>
      <c r="K98" s="64"/>
      <c r="L98" s="161"/>
      <c r="M98" s="64"/>
      <c r="N98" s="64"/>
      <c r="O98" s="64"/>
      <c r="P98" s="64"/>
      <c r="Q98" s="64"/>
      <c r="R98" s="64"/>
      <c r="S98" s="64"/>
      <c r="T98" s="64"/>
      <c r="U98" s="64"/>
      <c r="V98" s="64"/>
      <c r="W98" s="64"/>
      <c r="X98" s="64"/>
      <c r="Y98" s="64"/>
      <c r="Z98" s="161"/>
      <c r="AA98" s="64"/>
      <c r="AB98" s="64"/>
      <c r="AC98" s="64"/>
    </row>
    <row r="99" spans="1:29" ht="20">
      <c r="A99" s="137"/>
      <c r="B99" s="64"/>
      <c r="C99" s="2"/>
      <c r="D99" s="2"/>
      <c r="E99" s="2"/>
      <c r="F99" s="64"/>
      <c r="G99" s="64"/>
      <c r="H99" s="64"/>
      <c r="I99" s="178"/>
      <c r="J99" s="64"/>
      <c r="K99" s="64"/>
      <c r="L99" s="161"/>
      <c r="M99" s="64"/>
      <c r="N99" s="64"/>
      <c r="O99" s="64"/>
      <c r="P99" s="64"/>
      <c r="Q99" s="64"/>
      <c r="R99" s="64"/>
      <c r="S99" s="64"/>
      <c r="T99" s="64"/>
      <c r="U99" s="64"/>
      <c r="V99" s="64"/>
      <c r="W99" s="64"/>
      <c r="X99" s="64"/>
      <c r="Y99" s="64"/>
      <c r="Z99" s="161"/>
      <c r="AA99" s="64"/>
      <c r="AB99" s="64"/>
      <c r="AC99" s="64"/>
    </row>
    <row r="100" spans="1:29" ht="21" customHeight="1">
      <c r="A100" s="432"/>
      <c r="B100" s="408"/>
      <c r="C100" s="2"/>
      <c r="D100" s="2"/>
      <c r="E100" s="2"/>
      <c r="F100" s="64"/>
      <c r="G100" s="64"/>
      <c r="H100" s="64"/>
      <c r="I100" s="178"/>
      <c r="J100" s="64"/>
      <c r="K100" s="64"/>
      <c r="L100" s="161"/>
      <c r="M100" s="64"/>
      <c r="N100" s="64"/>
      <c r="O100" s="64"/>
      <c r="P100" s="64"/>
      <c r="Q100" s="64"/>
      <c r="R100" s="64"/>
      <c r="S100" s="64"/>
      <c r="T100" s="64"/>
      <c r="U100" s="64"/>
      <c r="V100" s="64"/>
      <c r="W100" s="64"/>
      <c r="X100" s="64"/>
      <c r="Y100" s="64"/>
      <c r="Z100" s="161"/>
      <c r="AA100" s="64"/>
      <c r="AB100" s="64"/>
      <c r="AC100" s="64"/>
    </row>
    <row r="101" spans="1:29" ht="20">
      <c r="A101" s="432"/>
      <c r="B101" s="408"/>
      <c r="F101" s="64"/>
      <c r="G101" s="64"/>
      <c r="H101" s="64"/>
      <c r="I101" s="178"/>
      <c r="J101" s="64"/>
      <c r="K101" s="64"/>
      <c r="L101" s="161"/>
      <c r="M101" s="64"/>
      <c r="N101" s="64"/>
      <c r="O101" s="64"/>
      <c r="P101" s="64"/>
      <c r="Q101" s="64"/>
      <c r="R101" s="64"/>
      <c r="S101" s="64"/>
      <c r="T101" s="64"/>
      <c r="U101" s="64"/>
      <c r="V101" s="64"/>
      <c r="W101" s="64"/>
      <c r="X101" s="64"/>
      <c r="Y101" s="64"/>
      <c r="Z101" s="161"/>
      <c r="AA101" s="64"/>
      <c r="AB101" s="64"/>
      <c r="AC101" s="64"/>
    </row>
    <row r="102" spans="1:29" ht="20">
      <c r="A102" s="137"/>
      <c r="B102" s="64"/>
      <c r="F102" s="64"/>
      <c r="G102" s="64"/>
      <c r="H102" s="64"/>
      <c r="I102" s="178"/>
      <c r="J102" s="64"/>
      <c r="K102" s="64"/>
      <c r="L102" s="161"/>
      <c r="M102" s="64"/>
      <c r="N102" s="64"/>
      <c r="O102" s="64"/>
      <c r="P102" s="64"/>
      <c r="Q102" s="64"/>
      <c r="R102" s="64"/>
      <c r="S102" s="64"/>
      <c r="T102" s="64"/>
      <c r="U102" s="64"/>
      <c r="V102" s="64"/>
      <c r="W102" s="64"/>
      <c r="X102" s="64"/>
      <c r="Y102" s="64"/>
      <c r="Z102" s="161"/>
      <c r="AA102" s="64"/>
      <c r="AB102" s="64"/>
      <c r="AC102" s="64"/>
    </row>
    <row r="103" spans="1:29" ht="20">
      <c r="A103" s="665"/>
      <c r="B103" s="408"/>
      <c r="F103" s="64"/>
      <c r="G103" s="64"/>
      <c r="H103" s="64"/>
      <c r="I103" s="178"/>
      <c r="J103" s="64"/>
      <c r="K103" s="64"/>
      <c r="L103" s="161"/>
      <c r="M103" s="64"/>
      <c r="N103" s="64"/>
      <c r="O103" s="64"/>
      <c r="P103" s="64"/>
      <c r="Q103" s="64"/>
      <c r="R103" s="64"/>
      <c r="S103" s="64"/>
      <c r="T103" s="64"/>
      <c r="U103" s="64"/>
      <c r="V103" s="64"/>
      <c r="W103" s="64"/>
      <c r="X103" s="64"/>
      <c r="Y103" s="64"/>
      <c r="Z103" s="161"/>
      <c r="AA103" s="64"/>
      <c r="AB103" s="64"/>
      <c r="AC103" s="64"/>
    </row>
    <row r="104" spans="1:29" ht="20">
      <c r="A104" s="665"/>
      <c r="B104" s="408"/>
      <c r="F104" s="64"/>
      <c r="G104" s="64"/>
      <c r="H104" s="64"/>
      <c r="I104" s="178"/>
      <c r="J104" s="64"/>
      <c r="K104" s="64"/>
      <c r="L104" s="161"/>
      <c r="M104" s="64"/>
      <c r="N104" s="64"/>
      <c r="O104" s="64"/>
      <c r="P104" s="64"/>
      <c r="Q104" s="64"/>
      <c r="R104" s="64"/>
      <c r="S104" s="64"/>
      <c r="T104" s="64"/>
      <c r="U104" s="64"/>
      <c r="V104" s="64"/>
      <c r="W104" s="64"/>
      <c r="X104" s="64"/>
      <c r="Y104" s="64"/>
      <c r="Z104" s="161"/>
      <c r="AA104" s="64"/>
      <c r="AB104" s="64"/>
      <c r="AC104" s="64"/>
    </row>
    <row r="105" spans="1:29" ht="20">
      <c r="F105" s="64"/>
      <c r="G105" s="64"/>
      <c r="H105" s="64"/>
      <c r="I105" s="178"/>
      <c r="J105" s="64"/>
      <c r="K105" s="64"/>
      <c r="L105" s="161"/>
      <c r="M105" s="64"/>
      <c r="N105" s="64"/>
      <c r="O105" s="64"/>
      <c r="P105" s="64"/>
      <c r="Q105" s="64"/>
      <c r="R105" s="64"/>
      <c r="S105" s="64"/>
      <c r="T105" s="64"/>
      <c r="U105" s="64"/>
      <c r="V105" s="64"/>
      <c r="W105" s="64"/>
      <c r="X105" s="64"/>
      <c r="Y105" s="64"/>
      <c r="Z105" s="161"/>
      <c r="AA105" s="64"/>
      <c r="AB105" s="64"/>
      <c r="AC105" s="64"/>
    </row>
    <row r="106" spans="1:29" ht="20">
      <c r="F106" s="64"/>
      <c r="G106" s="64"/>
      <c r="H106" s="64"/>
      <c r="I106" s="178"/>
      <c r="J106" s="64"/>
      <c r="K106" s="64"/>
      <c r="L106" s="161"/>
      <c r="M106" s="64"/>
      <c r="N106" s="64"/>
      <c r="O106" s="64"/>
      <c r="P106" s="64"/>
      <c r="Q106" s="64"/>
      <c r="R106" s="64"/>
      <c r="S106" s="64"/>
      <c r="T106" s="64"/>
      <c r="U106" s="64"/>
      <c r="V106" s="64"/>
      <c r="W106" s="64"/>
      <c r="X106" s="64"/>
      <c r="Y106" s="64"/>
      <c r="Z106" s="161"/>
      <c r="AA106" s="64"/>
      <c r="AB106" s="64"/>
      <c r="AC106" s="64"/>
    </row>
    <row r="107" spans="1:29" ht="20">
      <c r="F107" s="64"/>
      <c r="G107" s="64"/>
      <c r="H107" s="64"/>
      <c r="I107" s="179"/>
      <c r="J107" s="64"/>
      <c r="K107" s="69"/>
      <c r="L107" s="162"/>
      <c r="M107" s="69"/>
      <c r="N107" s="69"/>
      <c r="O107" s="69"/>
      <c r="P107" s="69"/>
      <c r="Q107" s="64"/>
      <c r="R107" s="64"/>
      <c r="S107" s="69"/>
      <c r="T107" s="69"/>
      <c r="U107" s="69"/>
      <c r="V107" s="69"/>
      <c r="W107" s="69"/>
      <c r="X107" s="69"/>
      <c r="Y107" s="64"/>
      <c r="Z107" s="162"/>
      <c r="AA107" s="69"/>
      <c r="AB107" s="69"/>
      <c r="AC107" s="69"/>
    </row>
    <row r="108" spans="1:29" ht="20">
      <c r="F108" s="69"/>
      <c r="G108" s="69"/>
      <c r="H108" s="69"/>
      <c r="I108" s="180"/>
      <c r="J108" s="69"/>
      <c r="K108" s="66"/>
      <c r="L108" s="163"/>
      <c r="M108" s="66"/>
      <c r="N108" s="66"/>
      <c r="O108" s="66"/>
      <c r="P108" s="66"/>
      <c r="Q108" s="69"/>
      <c r="R108" s="69"/>
      <c r="S108" s="66"/>
      <c r="T108" s="66"/>
      <c r="U108" s="66"/>
      <c r="V108" s="66"/>
      <c r="W108" s="66"/>
      <c r="X108" s="66"/>
      <c r="Y108" s="69"/>
      <c r="Z108" s="163"/>
      <c r="AA108" s="66"/>
      <c r="AB108" s="66"/>
      <c r="AC108" s="66"/>
    </row>
    <row r="109" spans="1:29" ht="20">
      <c r="F109" s="67"/>
      <c r="G109" s="67"/>
      <c r="H109" s="67"/>
      <c r="I109" s="181"/>
      <c r="J109" s="67"/>
      <c r="K109" s="68"/>
      <c r="L109" s="164"/>
      <c r="M109" s="68"/>
      <c r="N109" s="68"/>
      <c r="O109" s="68"/>
      <c r="P109" s="68"/>
      <c r="Q109" s="67"/>
      <c r="R109" s="67"/>
      <c r="S109" s="68"/>
      <c r="T109" s="68"/>
      <c r="U109" s="68"/>
      <c r="V109" s="68"/>
      <c r="W109" s="68"/>
      <c r="X109" s="68"/>
      <c r="Y109" s="67"/>
      <c r="Z109" s="164"/>
      <c r="AA109" s="68"/>
      <c r="AB109" s="68"/>
      <c r="AC109" s="68"/>
    </row>
    <row r="110" spans="1:29" ht="20">
      <c r="F110" s="68"/>
      <c r="G110" s="68"/>
      <c r="H110" s="68"/>
      <c r="I110" s="181"/>
      <c r="J110" s="68"/>
      <c r="K110" s="68"/>
      <c r="L110" s="164"/>
      <c r="M110" s="68"/>
      <c r="N110" s="68"/>
      <c r="O110" s="68"/>
      <c r="P110" s="68"/>
      <c r="Q110" s="68"/>
      <c r="R110" s="68"/>
      <c r="S110" s="68"/>
      <c r="T110" s="68"/>
      <c r="U110" s="68"/>
      <c r="V110" s="68"/>
      <c r="W110" s="68"/>
      <c r="X110" s="68"/>
      <c r="Y110" s="68"/>
      <c r="Z110" s="164"/>
      <c r="AA110" s="68"/>
      <c r="AB110" s="68"/>
      <c r="AC110" s="68"/>
    </row>
    <row r="111" spans="1:29" ht="20">
      <c r="F111" s="68"/>
      <c r="G111" s="68"/>
      <c r="H111" s="68"/>
      <c r="I111" s="179"/>
      <c r="J111" s="68"/>
      <c r="K111" s="69"/>
      <c r="L111" s="162"/>
      <c r="M111" s="69"/>
      <c r="N111" s="69"/>
      <c r="O111" s="69"/>
      <c r="P111" s="69"/>
      <c r="Q111" s="68"/>
      <c r="R111" s="68"/>
      <c r="S111" s="69"/>
      <c r="T111" s="69"/>
      <c r="U111" s="69"/>
      <c r="V111" s="69"/>
      <c r="W111" s="69"/>
      <c r="X111" s="69"/>
      <c r="Y111" s="68"/>
      <c r="Z111" s="162"/>
      <c r="AA111" s="69"/>
      <c r="AB111" s="69"/>
      <c r="AC111" s="69"/>
    </row>
    <row r="112" spans="1:29" ht="20">
      <c r="F112" s="69"/>
      <c r="G112" s="69"/>
      <c r="H112" s="69"/>
      <c r="I112" s="179"/>
      <c r="J112" s="69"/>
      <c r="K112" s="69"/>
      <c r="L112" s="162"/>
      <c r="M112" s="69"/>
      <c r="N112" s="69"/>
      <c r="O112" s="69"/>
      <c r="P112" s="69"/>
      <c r="Q112" s="69"/>
      <c r="R112" s="69"/>
      <c r="S112" s="69"/>
      <c r="T112" s="69"/>
      <c r="U112" s="69"/>
      <c r="V112" s="69"/>
      <c r="W112" s="69"/>
      <c r="X112" s="69"/>
      <c r="Y112" s="69"/>
      <c r="Z112" s="162"/>
      <c r="AA112" s="69"/>
      <c r="AB112" s="69"/>
      <c r="AC112" s="69"/>
    </row>
    <row r="113" spans="6:29" ht="20">
      <c r="F113" s="69"/>
      <c r="G113" s="69"/>
      <c r="H113" s="69"/>
      <c r="I113" s="182"/>
      <c r="J113" s="69"/>
      <c r="K113" s="63"/>
      <c r="L113" s="165"/>
      <c r="M113" s="63"/>
      <c r="N113" s="63"/>
      <c r="O113" s="63"/>
      <c r="P113" s="63"/>
      <c r="Q113" s="69"/>
      <c r="R113" s="69"/>
      <c r="S113" s="63"/>
      <c r="T113" s="63"/>
      <c r="U113" s="63"/>
      <c r="V113" s="63"/>
      <c r="W113" s="63"/>
      <c r="X113" s="63"/>
      <c r="Y113" s="69"/>
      <c r="Z113" s="165"/>
      <c r="AA113" s="63"/>
      <c r="AB113" s="63"/>
      <c r="AC113" s="63"/>
    </row>
    <row r="114" spans="6:29" ht="20">
      <c r="F114" s="63"/>
      <c r="G114" s="63"/>
      <c r="H114" s="63"/>
      <c r="I114" s="171"/>
      <c r="J114" s="63"/>
      <c r="K114" s="70"/>
      <c r="L114" s="166"/>
      <c r="M114" s="70"/>
      <c r="N114" s="70"/>
      <c r="O114" s="70"/>
      <c r="P114" s="70"/>
      <c r="Q114" s="63"/>
      <c r="R114" s="63"/>
      <c r="S114" s="70"/>
      <c r="T114" s="70"/>
      <c r="U114" s="70"/>
      <c r="V114" s="70"/>
      <c r="W114" s="70"/>
      <c r="X114" s="70"/>
      <c r="Y114" s="63"/>
      <c r="Z114" s="166"/>
      <c r="AA114" s="70"/>
      <c r="AB114" s="70"/>
      <c r="AC114" s="70"/>
    </row>
    <row r="115" spans="6:29" ht="20">
      <c r="F115" s="70"/>
      <c r="G115" s="70"/>
      <c r="H115" s="70"/>
      <c r="I115" s="183"/>
      <c r="J115" s="70"/>
      <c r="K115" s="71"/>
      <c r="L115" s="167"/>
      <c r="M115" s="71"/>
      <c r="N115" s="71"/>
      <c r="O115" s="71"/>
      <c r="P115" s="71"/>
      <c r="Q115" s="70"/>
      <c r="R115" s="70"/>
      <c r="S115" s="71"/>
      <c r="T115" s="71"/>
      <c r="U115" s="71"/>
      <c r="V115" s="71"/>
      <c r="W115" s="71"/>
      <c r="X115" s="71"/>
      <c r="Y115" s="70"/>
      <c r="Z115" s="167"/>
      <c r="AA115" s="71"/>
      <c r="AB115" s="71"/>
      <c r="AC115" s="71"/>
    </row>
    <row r="155" spans="6:29" ht="20">
      <c r="F155" s="71"/>
      <c r="G155" s="71"/>
      <c r="H155" s="71"/>
      <c r="I155" s="2"/>
      <c r="J155" s="71"/>
      <c r="K155" s="2"/>
      <c r="L155" s="168"/>
      <c r="M155" s="2"/>
      <c r="N155" s="2"/>
      <c r="O155" s="2"/>
      <c r="P155" s="2"/>
      <c r="Q155" s="71"/>
      <c r="R155" s="71"/>
      <c r="S155" s="2"/>
      <c r="T155" s="2"/>
      <c r="U155" s="2"/>
      <c r="V155" s="2"/>
      <c r="W155" s="2"/>
      <c r="X155" s="2"/>
      <c r="Y155" s="71"/>
      <c r="Z155" s="168"/>
      <c r="AA155" s="2"/>
      <c r="AB155" s="2"/>
      <c r="AC155" s="2"/>
    </row>
    <row r="156" spans="6:29" ht="20">
      <c r="F156" s="2"/>
      <c r="G156" s="2"/>
      <c r="H156" s="2"/>
      <c r="I156" s="2"/>
      <c r="J156" s="2"/>
      <c r="K156" s="2"/>
      <c r="L156" s="168"/>
      <c r="M156" s="2"/>
      <c r="N156" s="2"/>
      <c r="O156" s="2"/>
      <c r="P156" s="2"/>
      <c r="Q156" s="2"/>
      <c r="R156" s="2"/>
      <c r="S156" s="2"/>
      <c r="T156" s="2"/>
      <c r="U156" s="2"/>
      <c r="V156" s="2"/>
      <c r="W156" s="2"/>
      <c r="X156" s="2"/>
      <c r="Y156" s="2"/>
      <c r="Z156" s="168"/>
      <c r="AA156" s="2"/>
      <c r="AB156" s="2"/>
      <c r="AC156" s="2"/>
    </row>
    <row r="157" spans="6:29" ht="20">
      <c r="F157" s="2"/>
      <c r="G157" s="2"/>
      <c r="H157" s="2"/>
      <c r="I157" s="2"/>
      <c r="J157" s="2"/>
      <c r="K157" s="2"/>
      <c r="L157" s="168"/>
      <c r="M157" s="2"/>
      <c r="N157" s="2"/>
      <c r="O157" s="2"/>
      <c r="P157" s="2"/>
      <c r="Q157" s="2"/>
      <c r="R157" s="2"/>
      <c r="S157" s="2"/>
      <c r="T157" s="2"/>
      <c r="U157" s="2"/>
      <c r="V157" s="2"/>
      <c r="W157" s="2"/>
      <c r="X157" s="2"/>
      <c r="Y157" s="2"/>
      <c r="Z157" s="168"/>
      <c r="AA157" s="2"/>
      <c r="AB157" s="2"/>
      <c r="AC157" s="2"/>
    </row>
    <row r="158" spans="6:29" ht="20">
      <c r="F158" s="2"/>
      <c r="G158" s="2"/>
      <c r="H158" s="2"/>
      <c r="I158" s="2"/>
      <c r="J158" s="2"/>
      <c r="K158" s="2"/>
      <c r="L158" s="168"/>
      <c r="M158" s="2"/>
      <c r="N158" s="2"/>
      <c r="O158" s="2"/>
      <c r="P158" s="2"/>
      <c r="Q158" s="2"/>
      <c r="R158" s="2"/>
      <c r="S158" s="2"/>
      <c r="T158" s="2"/>
      <c r="U158" s="2"/>
      <c r="V158" s="2"/>
      <c r="W158" s="2"/>
      <c r="X158" s="2"/>
      <c r="Y158" s="2"/>
      <c r="Z158" s="168"/>
      <c r="AA158" s="2"/>
      <c r="AB158" s="2"/>
      <c r="AC158" s="2"/>
    </row>
    <row r="159" spans="6:29" ht="20">
      <c r="F159" s="2"/>
      <c r="G159" s="2"/>
      <c r="H159" s="2"/>
      <c r="I159" s="2"/>
      <c r="J159" s="2"/>
      <c r="K159" s="2"/>
      <c r="L159" s="168"/>
      <c r="M159" s="2"/>
      <c r="N159" s="2"/>
      <c r="O159" s="2"/>
      <c r="P159" s="2"/>
      <c r="Q159" s="2"/>
      <c r="R159" s="2"/>
      <c r="S159" s="2"/>
      <c r="T159" s="2"/>
      <c r="U159" s="2"/>
      <c r="V159" s="2"/>
      <c r="W159" s="2"/>
      <c r="X159" s="2"/>
      <c r="Y159" s="2"/>
      <c r="Z159" s="168"/>
      <c r="AA159" s="2"/>
      <c r="AB159" s="2"/>
      <c r="AC159" s="2"/>
    </row>
    <row r="160" spans="6:29" ht="20">
      <c r="F160" s="2"/>
      <c r="G160" s="2"/>
      <c r="H160" s="2"/>
      <c r="I160" s="2"/>
      <c r="J160" s="2"/>
      <c r="K160" s="2"/>
      <c r="L160" s="168"/>
      <c r="M160" s="2"/>
      <c r="N160" s="2"/>
      <c r="O160" s="2"/>
      <c r="P160" s="2"/>
      <c r="Q160" s="2"/>
      <c r="R160" s="2"/>
      <c r="S160" s="2"/>
      <c r="T160" s="2"/>
      <c r="U160" s="2"/>
      <c r="V160" s="2"/>
      <c r="W160" s="2"/>
      <c r="X160" s="2"/>
      <c r="Y160" s="2"/>
      <c r="Z160" s="168"/>
      <c r="AA160" s="2"/>
      <c r="AB160" s="2"/>
      <c r="AC160" s="2"/>
    </row>
  </sheetData>
  <sheetProtection algorithmName="SHA-512" hashValue="kMlc6h+/0L+eO6j3jHmyEF1vW6aZWokzj1PKB+Hz5q9SahfgeTtnjn3ZI6VlTenATGa1mXUihzIDeHpnlwQtUg==" saltValue="5SP3x3xuClZVBlOxIE12Qw==" spinCount="100000" sheet="1" objects="1" scenarios="1"/>
  <mergeCells count="30">
    <mergeCell ref="Y4:Y5"/>
    <mergeCell ref="Z4:Z5"/>
    <mergeCell ref="U4:U5"/>
    <mergeCell ref="S4:S5"/>
    <mergeCell ref="A103:A104"/>
    <mergeCell ref="B4:B5"/>
    <mergeCell ref="D4:D5"/>
    <mergeCell ref="E4:E5"/>
    <mergeCell ref="R4:R5"/>
    <mergeCell ref="Q4:Q5"/>
    <mergeCell ref="F4:F5"/>
    <mergeCell ref="G4:G5"/>
    <mergeCell ref="H4:H5"/>
    <mergeCell ref="J4:J5"/>
    <mergeCell ref="B3:E3"/>
    <mergeCell ref="C4:C5"/>
    <mergeCell ref="AC4:AC5"/>
    <mergeCell ref="N4:N5"/>
    <mergeCell ref="O4:O5"/>
    <mergeCell ref="P4:P5"/>
    <mergeCell ref="K4:K5"/>
    <mergeCell ref="L4:L5"/>
    <mergeCell ref="X4:X5"/>
    <mergeCell ref="W4:W5"/>
    <mergeCell ref="I4:I5"/>
    <mergeCell ref="M4:M5"/>
    <mergeCell ref="AA4:AA5"/>
    <mergeCell ref="V4:V5"/>
    <mergeCell ref="AB4:AB5"/>
    <mergeCell ref="T4:T5"/>
  </mergeCells>
  <pageMargins left="0.7" right="0.7" top="0.75" bottom="0.75" header="0.3" footer="0.3"/>
  <pageSetup scale="21" orientation="landscape" horizontalDpi="360" verticalDpi="360" r:id="rId1"/>
  <ignoredErrors>
    <ignoredError sqref="C6:C8 C25:C26 B28:B72 C22:C23 C19:C20 C16:C17 C13:C14 C10:C11 C9 C12 C15 C18 C21 C24"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BA325-7006-9D41-ACB9-1B489FB2092C}">
  <sheetPr codeName="Sheet37">
    <pageSetUpPr fitToPage="1"/>
  </sheetPr>
  <dimension ref="A1:AM81"/>
  <sheetViews>
    <sheetView zoomScale="110" zoomScaleNormal="110" workbookViewId="0">
      <selection activeCell="B2" sqref="B2:AK2"/>
    </sheetView>
  </sheetViews>
  <sheetFormatPr baseColWidth="10" defaultColWidth="11.5" defaultRowHeight="15"/>
  <cols>
    <col min="1" max="1" width="5.33203125" customWidth="1"/>
    <col min="2" max="2" width="33.1640625" customWidth="1"/>
    <col min="3" max="3" width="17.1640625" customWidth="1"/>
    <col min="4" max="4" width="11.5" customWidth="1"/>
    <col min="5" max="5" width="13.6640625" hidden="1" customWidth="1"/>
    <col min="6" max="6" width="11.6640625" hidden="1" customWidth="1"/>
    <col min="7" max="7" width="12.83203125" hidden="1" customWidth="1"/>
    <col min="8" max="8" width="11.83203125" customWidth="1"/>
    <col min="9" max="9" width="10.5" customWidth="1"/>
    <col min="10" max="10" width="9.5" customWidth="1"/>
    <col min="11" max="11" width="12.5" customWidth="1"/>
    <col min="12" max="12" width="14.33203125" hidden="1" customWidth="1"/>
    <col min="13" max="13" width="16.5" hidden="1" customWidth="1"/>
    <col min="14" max="14" width="11.6640625" hidden="1" customWidth="1"/>
    <col min="15" max="15" width="13.83203125" hidden="1" customWidth="1"/>
    <col min="16" max="16" width="12.33203125" hidden="1" customWidth="1"/>
    <col min="17" max="17" width="11.6640625" hidden="1" customWidth="1"/>
    <col min="18" max="18" width="11.5" hidden="1" customWidth="1"/>
    <col min="19" max="19" width="13.1640625" hidden="1" customWidth="1"/>
    <col min="20" max="33" width="11.5" hidden="1" customWidth="1"/>
    <col min="34" max="36" width="0" hidden="1" customWidth="1"/>
  </cols>
  <sheetData>
    <row r="1" spans="1:39" s="3" customFormat="1"/>
    <row r="2" spans="1:39" s="3" customFormat="1" ht="21" customHeight="1">
      <c r="B2" s="589" t="s">
        <v>369</v>
      </c>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row>
    <row r="3" spans="1:39" s="3" customFormat="1" ht="21" customHeight="1">
      <c r="B3" s="677" t="s">
        <v>94</v>
      </c>
      <c r="C3" s="673" t="s">
        <v>384</v>
      </c>
      <c r="D3" s="671" t="s">
        <v>93</v>
      </c>
      <c r="E3" s="679" t="s">
        <v>22</v>
      </c>
      <c r="F3" s="679"/>
      <c r="G3" s="671" t="s">
        <v>23</v>
      </c>
      <c r="H3" s="673" t="s">
        <v>388</v>
      </c>
      <c r="I3" s="681" t="s">
        <v>24</v>
      </c>
      <c r="J3" s="681" t="s">
        <v>25</v>
      </c>
      <c r="K3" s="675" t="s">
        <v>71</v>
      </c>
      <c r="L3" s="673" t="s">
        <v>73</v>
      </c>
      <c r="M3" s="673" t="s">
        <v>82</v>
      </c>
      <c r="N3" s="673" t="s">
        <v>74</v>
      </c>
      <c r="O3" s="683" t="s">
        <v>75</v>
      </c>
      <c r="P3" s="675" t="s">
        <v>76</v>
      </c>
      <c r="Q3" s="671" t="s">
        <v>77</v>
      </c>
      <c r="R3" s="673" t="s">
        <v>78</v>
      </c>
      <c r="S3" s="673" t="s">
        <v>79</v>
      </c>
      <c r="T3" s="673" t="s">
        <v>80</v>
      </c>
      <c r="U3" s="673" t="s">
        <v>81</v>
      </c>
      <c r="V3" s="670" t="s">
        <v>272</v>
      </c>
      <c r="W3" s="5"/>
      <c r="X3" s="5"/>
      <c r="Y3" s="5"/>
      <c r="Z3" s="5"/>
      <c r="AA3" s="5"/>
      <c r="AB3" s="5"/>
      <c r="AC3" s="5"/>
      <c r="AD3" s="5"/>
      <c r="AE3" s="5"/>
      <c r="AF3" s="5"/>
      <c r="AG3" s="5"/>
      <c r="AH3" s="5"/>
      <c r="AI3" s="5"/>
      <c r="AJ3" s="5"/>
      <c r="AK3" s="11"/>
      <c r="AL3" s="578"/>
      <c r="AM3" s="578"/>
    </row>
    <row r="4" spans="1:39" s="3" customFormat="1" ht="21" customHeight="1">
      <c r="B4" s="678"/>
      <c r="C4" s="674"/>
      <c r="D4" s="672"/>
      <c r="E4" s="680"/>
      <c r="F4" s="680"/>
      <c r="G4" s="672"/>
      <c r="H4" s="674"/>
      <c r="I4" s="682"/>
      <c r="J4" s="682"/>
      <c r="K4" s="676"/>
      <c r="L4" s="674"/>
      <c r="M4" s="674"/>
      <c r="N4" s="674"/>
      <c r="O4" s="684"/>
      <c r="P4" s="676"/>
      <c r="Q4" s="672"/>
      <c r="R4" s="674"/>
      <c r="S4" s="674"/>
      <c r="T4" s="674"/>
      <c r="U4" s="674"/>
      <c r="V4" s="670"/>
      <c r="W4" s="5"/>
      <c r="X4" s="5"/>
      <c r="Y4" s="5"/>
      <c r="Z4" s="5"/>
      <c r="AA4" s="5"/>
      <c r="AB4" s="5"/>
      <c r="AC4" s="5"/>
      <c r="AD4" s="5"/>
      <c r="AE4" s="5"/>
      <c r="AF4" s="5"/>
      <c r="AG4" s="5"/>
      <c r="AH4" s="5"/>
      <c r="AI4" s="5"/>
      <c r="AJ4" s="5"/>
      <c r="AK4" s="11"/>
      <c r="AL4" s="578"/>
      <c r="AM4" s="578"/>
    </row>
    <row r="5" spans="1:39" s="3" customFormat="1" ht="21" customHeight="1">
      <c r="B5" s="471" t="s">
        <v>70</v>
      </c>
      <c r="C5" s="472">
        <v>180000</v>
      </c>
      <c r="D5" s="473">
        <v>10</v>
      </c>
      <c r="E5" s="474">
        <v>3.0000000000000001E-3</v>
      </c>
      <c r="F5" s="475">
        <v>2</v>
      </c>
      <c r="G5" s="476">
        <v>0.23330000000000001</v>
      </c>
      <c r="H5" s="477">
        <v>20</v>
      </c>
      <c r="I5" s="478" t="s">
        <v>8</v>
      </c>
      <c r="J5" s="478" t="s">
        <v>8</v>
      </c>
      <c r="K5" s="479" t="s">
        <v>8</v>
      </c>
      <c r="L5" s="480">
        <f t="shared" ref="L5:L20" si="0">IF(Q5=0,0,(C5*(((E5*(((Q5*D5)/1000))^F5)/D5))/Q5))</f>
        <v>1.522967930029155</v>
      </c>
      <c r="M5" s="480">
        <f t="shared" ref="M5:M20" si="1">IF(Q5=0,0,((C5-(C5*(G5)))/D5)/Q5)</f>
        <v>48.932901691878293</v>
      </c>
      <c r="N5" s="5"/>
      <c r="O5" s="313" t="s">
        <v>8</v>
      </c>
      <c r="P5" s="8">
        <v>1</v>
      </c>
      <c r="Q5" s="481">
        <f>Q7+Q9+Q10+Q11+Q12+Q13</f>
        <v>282.03109815354713</v>
      </c>
      <c r="R5" s="482" t="s">
        <v>8</v>
      </c>
      <c r="S5" s="483"/>
      <c r="T5" s="482" t="s">
        <v>8</v>
      </c>
      <c r="U5" s="482" t="s">
        <v>8</v>
      </c>
      <c r="V5" s="5">
        <v>250</v>
      </c>
      <c r="W5" s="504">
        <f>V5/(V5-Q5)</f>
        <v>-7.8049150485436893</v>
      </c>
      <c r="X5" s="5" t="str">
        <f>B5</f>
        <v>450 HP tractor</v>
      </c>
      <c r="Y5" s="5"/>
      <c r="Z5" s="5"/>
      <c r="AA5" s="5"/>
      <c r="AB5" s="5"/>
      <c r="AC5" s="5"/>
      <c r="AD5" s="5"/>
      <c r="AE5" s="5"/>
      <c r="AF5" s="5"/>
      <c r="AG5" s="5"/>
      <c r="AH5" s="5"/>
      <c r="AI5" s="5"/>
      <c r="AJ5" s="5"/>
      <c r="AK5" s="11"/>
      <c r="AL5" s="578"/>
      <c r="AM5" s="578"/>
    </row>
    <row r="6" spans="1:39" s="3" customFormat="1" ht="21">
      <c r="A6" s="442" t="s">
        <v>8</v>
      </c>
      <c r="B6" s="471" t="s">
        <v>68</v>
      </c>
      <c r="C6" s="472">
        <v>180000</v>
      </c>
      <c r="D6" s="473">
        <v>10</v>
      </c>
      <c r="E6" s="484">
        <v>3.0000000000000001E-3</v>
      </c>
      <c r="F6" s="485">
        <v>2</v>
      </c>
      <c r="G6" s="476">
        <v>0.23330000000000001</v>
      </c>
      <c r="H6" s="477">
        <v>20</v>
      </c>
      <c r="I6" s="486"/>
      <c r="J6" s="471"/>
      <c r="K6" s="471"/>
      <c r="L6" s="480">
        <f t="shared" si="0"/>
        <v>2.0674110572076945</v>
      </c>
      <c r="M6" s="480">
        <f t="shared" si="1"/>
        <v>36.046648652761526</v>
      </c>
      <c r="N6" s="5"/>
      <c r="O6" s="5"/>
      <c r="P6" s="8">
        <v>2</v>
      </c>
      <c r="Q6" s="481">
        <f>Q8+Q16+Q18+Q15</f>
        <v>382.85389948290629</v>
      </c>
      <c r="R6" s="482" t="s">
        <v>8</v>
      </c>
      <c r="S6" s="5"/>
      <c r="T6" s="482" t="s">
        <v>8</v>
      </c>
      <c r="U6" s="5"/>
      <c r="V6" s="5">
        <v>300</v>
      </c>
      <c r="W6" s="504">
        <f t="shared" ref="W6:W18" si="2">V6/(V6-Q6)</f>
        <v>-3.6208313896184627</v>
      </c>
      <c r="X6" s="5" t="str">
        <f t="shared" ref="X6:X18" si="3">B6</f>
        <v>200 HP Trac</v>
      </c>
      <c r="Y6" s="5"/>
      <c r="Z6" s="5"/>
      <c r="AA6" s="5"/>
      <c r="AB6" s="5"/>
      <c r="AC6" s="5"/>
      <c r="AD6" s="5"/>
      <c r="AE6" s="5"/>
      <c r="AF6" s="5"/>
      <c r="AG6" s="5"/>
      <c r="AH6" s="5"/>
      <c r="AI6" s="5"/>
      <c r="AJ6" s="5"/>
      <c r="AK6" s="5"/>
    </row>
    <row r="7" spans="1:39" s="3" customFormat="1" ht="20">
      <c r="B7" s="471" t="s">
        <v>121</v>
      </c>
      <c r="C7" s="472">
        <v>30000</v>
      </c>
      <c r="D7" s="473">
        <v>10</v>
      </c>
      <c r="E7" s="474">
        <v>0.18</v>
      </c>
      <c r="F7" s="475">
        <v>1.7</v>
      </c>
      <c r="G7" s="476">
        <v>0.21759999999999999</v>
      </c>
      <c r="H7" s="486" t="s">
        <v>28</v>
      </c>
      <c r="I7" s="487">
        <v>30</v>
      </c>
      <c r="J7" s="488">
        <v>4.8899999999999997</v>
      </c>
      <c r="K7" s="489">
        <v>90</v>
      </c>
      <c r="L7" s="480">
        <f t="shared" si="0"/>
        <v>5.9550066125879777</v>
      </c>
      <c r="M7" s="480">
        <f t="shared" si="1"/>
        <v>20.410434782608693</v>
      </c>
      <c r="N7" s="490">
        <f t="shared" ref="N7:N18" si="4">(I7*J7*(K7/100))/8.25</f>
        <v>16.003636363636364</v>
      </c>
      <c r="O7" s="485">
        <f>(FieldApplications!O6*SUM('Farm and Rotation Setup'!AH$5:AH$9))+(FieldApplications!N6*SUM('Farm and Rotation Setup'!AG$5:AG$9))+(FieldApplications!C6*SUM('Farm and Rotation Setup'!V$5:V$9))+(FieldApplications!D6*SUM('Farm and Rotation Setup'!W$5:W$9))+(FieldApplications!V6*SUM('Farm and Rotation Setup'!AO$5:AO$9))+(FieldApplications!E6*SUM('Farm and Rotation Setup'!X$5:X$9))+(FieldApplications!G6*SUM('Farm and Rotation Setup'!Z$5:Z$9))+(FieldApplications!W6*SUM('Farm and Rotation Setup'!AP$5:AP$9))+(FieldApplications!R6*SUM('Farm and Rotation Setup'!AK$5:AK$9))+(FieldApplications!P6*SUM('Farm and Rotation Setup'!AI$5:AI$9))+(FieldApplications!Q6*SUM('Farm and Rotation Setup'!AJ$5:AJ$9))+(FieldApplications!H6*SUM('Farm and Rotation Setup'!AA$5:AA$9))+(FieldApplications!X6*SUM('Farm and Rotation Setup'!AQ$5:AQ$9))+(FieldApplications!J6*SUM('Farm and Rotation Setup'!AC$5:AC$9))+(FieldApplications!I6*SUM('Farm and Rotation Setup'!AB$5:AB$9))+(FieldApplications!U6*SUM('Farm and Rotation Setup'!AN$5:AN$9))+(FieldApplications!T6*SUM('Farm and Rotation Setup'!AM$5:AM$9))+(FieldApplications!S6*SUM('Farm and Rotation Setup'!AL$5:AL$9))+(FieldApplications!Y6*SUM('Farm and Rotation Setup'!AR$5:AR$9))+(FieldApplications!F6*SUM('Farm and Rotation Setup'!Y$5:Y$9))+(FieldApplications!Z6*SUM('Farm and Rotation Setup'!AS$5:AS$9))+(FieldApplications!K6*SUM('Farm and Rotation Setup'!AD$5:AD$9))+(FieldApplications!L6*SUM('Farm and Rotation Setup'!AE$5:AE$9))+(FieldApplications!M6*SUM('Farm and Rotation Setup'!AF$5:AF$9))</f>
        <v>0</v>
      </c>
      <c r="P7" s="8">
        <v>1</v>
      </c>
      <c r="Q7" s="491">
        <v>115</v>
      </c>
      <c r="R7" s="480">
        <f>IF(Q7=0,0,(MachineAssumptions!$D$30*1.2)/N7)</f>
        <v>1.4996591683708247</v>
      </c>
      <c r="S7" s="480">
        <f>IF(Q7=0,0,(MachineAssumptions!$D$29*$H$5*1.15)/N7)</f>
        <v>5.7486934787548281</v>
      </c>
      <c r="T7" s="480">
        <f t="shared" ref="T7:T13" si="5">IF(Q7=0,0,((L7+$L$5)/N7))</f>
        <v>0.46726721181997538</v>
      </c>
      <c r="U7" s="480">
        <f t="shared" ref="U7:U13" si="6">IF(Q7=0,0,((M7+$M$5)/N7))</f>
        <v>4.3329737628911431</v>
      </c>
      <c r="V7" s="5">
        <v>115</v>
      </c>
      <c r="W7" s="504" t="e">
        <f t="shared" si="2"/>
        <v>#DIV/0!</v>
      </c>
      <c r="X7" s="5" t="str">
        <f t="shared" si="3"/>
        <v>Shredder</v>
      </c>
      <c r="Y7" s="5"/>
      <c r="Z7" s="5"/>
      <c r="AA7" s="5"/>
      <c r="AB7" s="5"/>
      <c r="AC7" s="5"/>
      <c r="AD7" s="5"/>
      <c r="AE7" s="5"/>
      <c r="AF7" s="5"/>
      <c r="AG7" s="5"/>
      <c r="AH7" s="5"/>
      <c r="AI7" s="5"/>
      <c r="AJ7" s="5"/>
      <c r="AK7" s="5"/>
    </row>
    <row r="8" spans="1:39" s="3" customFormat="1" ht="20">
      <c r="B8" s="471" t="s">
        <v>122</v>
      </c>
      <c r="C8" s="472">
        <v>12000</v>
      </c>
      <c r="D8" s="473">
        <v>15</v>
      </c>
      <c r="E8" s="474">
        <v>0.27</v>
      </c>
      <c r="F8" s="475">
        <v>1.4</v>
      </c>
      <c r="G8" s="476">
        <v>0.21759999999999999</v>
      </c>
      <c r="H8" s="486" t="s">
        <v>28</v>
      </c>
      <c r="I8" s="487">
        <v>60</v>
      </c>
      <c r="J8" s="488">
        <v>5.99</v>
      </c>
      <c r="K8" s="489">
        <v>85</v>
      </c>
      <c r="L8" s="480">
        <f t="shared" si="0"/>
        <v>3.396299797229875</v>
      </c>
      <c r="M8" s="480">
        <f t="shared" si="1"/>
        <v>8.3455999999999992</v>
      </c>
      <c r="N8" s="490">
        <f t="shared" si="4"/>
        <v>37.029090909090911</v>
      </c>
      <c r="O8" s="485">
        <f>(FieldApplications!O7*SUM('Farm and Rotation Setup'!AH$5:AH$9))+(FieldApplications!N7*SUM('Farm and Rotation Setup'!AG$5:AG$9))+(FieldApplications!C7*SUM('Farm and Rotation Setup'!V$5:V$9))+(FieldApplications!D7*SUM('Farm and Rotation Setup'!W$5:W$9))+(FieldApplications!V7*SUM('Farm and Rotation Setup'!AO$5:AO$9))+(FieldApplications!E7*SUM('Farm and Rotation Setup'!X$5:X$9))+(FieldApplications!G7*SUM('Farm and Rotation Setup'!Z$5:Z$9))+(FieldApplications!W7*SUM('Farm and Rotation Setup'!AP$5:AP$9))+(FieldApplications!R7*SUM('Farm and Rotation Setup'!AK$5:AK$9))+(FieldApplications!P7*SUM('Farm and Rotation Setup'!AI$5:AI$9))+(FieldApplications!Q7*SUM('Farm and Rotation Setup'!AJ$5:AJ$9))+(FieldApplications!H7*SUM('Farm and Rotation Setup'!AA$5:AA$9))+(FieldApplications!X7*SUM('Farm and Rotation Setup'!AQ$5:AQ$9))+(FieldApplications!J7*SUM('Farm and Rotation Setup'!AC$5:AC$9))+(FieldApplications!I7*SUM('Farm and Rotation Setup'!AB$5:AB$9))+(FieldApplications!U7*SUM('Farm and Rotation Setup'!AN$5:AN$9))+(FieldApplications!T7*SUM('Farm and Rotation Setup'!AM$5:AM$9))+(FieldApplications!S7*SUM('Farm and Rotation Setup'!AL$5:AL$9))+(FieldApplications!Y7*SUM('Farm and Rotation Setup'!AR$5:AR$9))+(FieldApplications!F7*SUM('Farm and Rotation Setup'!Y$5:Y$9))+(FieldApplications!Z7*SUM('Farm and Rotation Setup'!AS$5:AS$9))+(FieldApplications!K7*SUM('Farm and Rotation Setup'!AD$5:AD$9))+(FieldApplications!L7*SUM('Farm and Rotation Setup'!AE$5:AE$9))+(FieldApplications!M7*SUM('Farm and Rotation Setup'!AF$5:AF$9))</f>
        <v>0</v>
      </c>
      <c r="P8" s="8">
        <v>2</v>
      </c>
      <c r="Q8" s="491">
        <v>75</v>
      </c>
      <c r="R8" s="480">
        <f>IF(Q8=0,0,(MachineAssumptions!$D$30*1.1)/N8)</f>
        <v>0.59412746734753996</v>
      </c>
      <c r="S8" s="480">
        <f>IF(Q8=0,0,(MachineAssumptions!$D$29*$H$5*1.15)/N8)</f>
        <v>2.4845330452715308</v>
      </c>
      <c r="T8" s="480">
        <f>IF(Q8=0,0,((L8+$L$6)/N8))</f>
        <v>0.14755184964846621</v>
      </c>
      <c r="U8" s="480">
        <f>IF(Q8=0,0,((M8+$M$6)/N8))</f>
        <v>1.1988479209967022</v>
      </c>
      <c r="V8" s="5">
        <v>75</v>
      </c>
      <c r="W8" s="504" t="e">
        <f t="shared" si="2"/>
        <v>#DIV/0!</v>
      </c>
      <c r="X8" s="5" t="str">
        <f t="shared" si="3"/>
        <v>Harrow</v>
      </c>
      <c r="Y8" s="5"/>
      <c r="Z8" s="5"/>
      <c r="AA8" s="5"/>
      <c r="AB8" s="5"/>
      <c r="AC8" s="5"/>
      <c r="AD8" s="5"/>
      <c r="AE8" s="5"/>
      <c r="AF8" s="5"/>
      <c r="AG8" s="5"/>
      <c r="AH8" s="5"/>
      <c r="AI8" s="5"/>
      <c r="AJ8" s="5"/>
      <c r="AK8" s="5"/>
    </row>
    <row r="9" spans="1:39" s="3" customFormat="1" ht="20">
      <c r="B9" s="471" t="s">
        <v>364</v>
      </c>
      <c r="C9" s="492">
        <v>45000</v>
      </c>
      <c r="D9" s="493">
        <v>15</v>
      </c>
      <c r="E9" s="484">
        <v>0.28000000000000003</v>
      </c>
      <c r="F9" s="485">
        <v>1.7</v>
      </c>
      <c r="G9" s="476">
        <v>0.21759999999999999</v>
      </c>
      <c r="H9" s="486" t="s">
        <v>28</v>
      </c>
      <c r="I9" s="494">
        <v>35</v>
      </c>
      <c r="J9" s="495">
        <v>6</v>
      </c>
      <c r="K9" s="496">
        <v>85</v>
      </c>
      <c r="L9" s="480">
        <f t="shared" si="0"/>
        <v>0</v>
      </c>
      <c r="M9" s="480">
        <f t="shared" si="1"/>
        <v>0</v>
      </c>
      <c r="N9" s="490">
        <f t="shared" si="4"/>
        <v>21.636363636363637</v>
      </c>
      <c r="O9" s="485">
        <f>(FieldApplications!O8*SUM('Farm and Rotation Setup'!AH$5:AH$9))+(FieldApplications!N8*SUM('Farm and Rotation Setup'!AG$5:AG$9))+(FieldApplications!C8*SUM('Farm and Rotation Setup'!V$5:V$9))+(FieldApplications!D8*SUM('Farm and Rotation Setup'!W$5:W$9))+(FieldApplications!V8*SUM('Farm and Rotation Setup'!AO$5:AO$9))+(FieldApplications!E8*SUM('Farm and Rotation Setup'!X$5:X$9))+(FieldApplications!G8*SUM('Farm and Rotation Setup'!Z$5:Z$9))+(FieldApplications!W8*SUM('Farm and Rotation Setup'!AP$5:AP$9))+(FieldApplications!R8*SUM('Farm and Rotation Setup'!AK$5:AK$9))+(FieldApplications!P8*SUM('Farm and Rotation Setup'!AI$5:AI$9))+(FieldApplications!Q8*SUM('Farm and Rotation Setup'!AJ$5:AJ$9))+(FieldApplications!H8*SUM('Farm and Rotation Setup'!AA$5:AA$9))+(FieldApplications!X8*SUM('Farm and Rotation Setup'!AQ$5:AQ$9))+(FieldApplications!J8*SUM('Farm and Rotation Setup'!AC$5:AC$9))+(FieldApplications!I8*SUM('Farm and Rotation Setup'!AB$5:AB$9))+(FieldApplications!U8*SUM('Farm and Rotation Setup'!AN$5:AN$9))+(FieldApplications!T8*SUM('Farm and Rotation Setup'!AM$5:AM$9))+(FieldApplications!S8*SUM('Farm and Rotation Setup'!AL$5:AL$9))+(FieldApplications!Y8*SUM('Farm and Rotation Setup'!AR$5:AR$9))+(FieldApplications!F8*SUM('Farm and Rotation Setup'!Y$5:Y$9))+(FieldApplications!Z8*SUM('Farm and Rotation Setup'!AS$5:AS$9))+(FieldApplications!K8*SUM('Farm and Rotation Setup'!AD$5:AD$9))+(FieldApplications!L8*SUM('Farm and Rotation Setup'!AE$5:AE$9))+(FieldApplications!M8*SUM('Farm and Rotation Setup'!AF$5:AF$9))</f>
        <v>0</v>
      </c>
      <c r="P9" s="8">
        <v>1</v>
      </c>
      <c r="Q9" s="481">
        <f t="shared" ref="Q9:Q18" si="7">O9/N9</f>
        <v>0</v>
      </c>
      <c r="R9" s="480">
        <f>IF(Q9=0,0,(MachineAssumptions!$D$30*1.1)/N9)</f>
        <v>0</v>
      </c>
      <c r="S9" s="480">
        <f>IF(Q9=0,0,(MachineAssumptions!$D$29*$H$5*1.15)/N9)</f>
        <v>0</v>
      </c>
      <c r="T9" s="480">
        <f t="shared" si="5"/>
        <v>0</v>
      </c>
      <c r="U9" s="480">
        <f t="shared" si="6"/>
        <v>0</v>
      </c>
      <c r="V9" s="5"/>
      <c r="W9" s="505" t="s">
        <v>8</v>
      </c>
      <c r="X9" s="313" t="s">
        <v>8</v>
      </c>
      <c r="Y9" s="5"/>
      <c r="Z9" s="5"/>
      <c r="AA9" s="5"/>
      <c r="AB9" s="5"/>
      <c r="AC9" s="5"/>
      <c r="AD9" s="5"/>
      <c r="AE9" s="5"/>
      <c r="AF9" s="5"/>
      <c r="AG9" s="5"/>
      <c r="AH9" s="5"/>
      <c r="AI9" s="5"/>
      <c r="AJ9" s="5"/>
      <c r="AK9" s="5"/>
    </row>
    <row r="10" spans="1:39" s="3" customFormat="1" ht="20">
      <c r="B10" s="471" t="s">
        <v>365</v>
      </c>
      <c r="C10" s="492">
        <v>55000</v>
      </c>
      <c r="D10" s="493">
        <v>15</v>
      </c>
      <c r="E10" s="484">
        <v>0.28999999999999998</v>
      </c>
      <c r="F10" s="485">
        <v>1.8</v>
      </c>
      <c r="G10" s="497">
        <v>0.2923</v>
      </c>
      <c r="H10" s="486" t="s">
        <v>28</v>
      </c>
      <c r="I10" s="494">
        <v>25</v>
      </c>
      <c r="J10" s="495">
        <v>3.4</v>
      </c>
      <c r="K10" s="496">
        <v>85</v>
      </c>
      <c r="L10" s="480">
        <f t="shared" si="0"/>
        <v>0</v>
      </c>
      <c r="M10" s="480">
        <f t="shared" si="1"/>
        <v>0</v>
      </c>
      <c r="N10" s="490">
        <f t="shared" si="4"/>
        <v>8.7575757575757578</v>
      </c>
      <c r="O10" s="485">
        <f>(FieldApplications!O9*SUM('Farm and Rotation Setup'!AH$5:AH$9))+(FieldApplications!N9*SUM('Farm and Rotation Setup'!AG$5:AG$9))+(FieldApplications!C9*SUM('Farm and Rotation Setup'!V$5:V$9))+(FieldApplications!D9*SUM('Farm and Rotation Setup'!W$5:W$9))+(FieldApplications!V9*SUM('Farm and Rotation Setup'!AO$5:AO$9))+(FieldApplications!E9*SUM('Farm and Rotation Setup'!X$5:X$9))+(FieldApplications!G9*SUM('Farm and Rotation Setup'!Z$5:Z$9))+(FieldApplications!W9*SUM('Farm and Rotation Setup'!AP$5:AP$9))+(FieldApplications!R9*SUM('Farm and Rotation Setup'!AK$5:AK$9))+(FieldApplications!P9*SUM('Farm and Rotation Setup'!AI$5:AI$9))+(FieldApplications!Q9*SUM('Farm and Rotation Setup'!AJ$5:AJ$9))+(FieldApplications!H9*SUM('Farm and Rotation Setup'!AA$5:AA$9))+(FieldApplications!X9*SUM('Farm and Rotation Setup'!AQ$5:AQ$9))+(FieldApplications!J9*SUM('Farm and Rotation Setup'!AC$5:AC$9))+(FieldApplications!I9*SUM('Farm and Rotation Setup'!AB$5:AB$9))+(FieldApplications!U9*SUM('Farm and Rotation Setup'!AN$5:AN$9))+(FieldApplications!T9*SUM('Farm and Rotation Setup'!AM$5:AM$9))+(FieldApplications!S9*SUM('Farm and Rotation Setup'!AL$5:AL$9))+(FieldApplications!Y9*SUM('Farm and Rotation Setup'!AR$5:AR$9))+(FieldApplications!F9*SUM('Farm and Rotation Setup'!Y$5:Y$9))+(FieldApplications!Z9*SUM('Farm and Rotation Setup'!AS$5:AS$9))+(FieldApplications!K9*SUM('Farm and Rotation Setup'!AD$5:AD$9))+(FieldApplications!L9*SUM('Farm and Rotation Setup'!AE$5:AE$9))+(FieldApplications!M9*SUM('Farm and Rotation Setup'!AF$5:AF$9))</f>
        <v>0</v>
      </c>
      <c r="P10" s="8">
        <v>1</v>
      </c>
      <c r="Q10" s="481">
        <f t="shared" si="7"/>
        <v>0</v>
      </c>
      <c r="R10" s="480">
        <f>IF(Q10=0,0,(MachineAssumptions!$D$30*1.1)/N10)</f>
        <v>0</v>
      </c>
      <c r="S10" s="480">
        <f>IF(Q10=0,0,(MachineAssumptions!$D$29*$H$5*1.15)/N10)</f>
        <v>0</v>
      </c>
      <c r="T10" s="480">
        <f t="shared" si="5"/>
        <v>0</v>
      </c>
      <c r="U10" s="480">
        <f t="shared" si="6"/>
        <v>0</v>
      </c>
      <c r="V10" s="5"/>
      <c r="W10" s="505" t="s">
        <v>8</v>
      </c>
      <c r="X10" s="313" t="s">
        <v>8</v>
      </c>
      <c r="Y10" s="5"/>
      <c r="Z10" s="5"/>
      <c r="AA10" s="5"/>
      <c r="AB10" s="5"/>
      <c r="AC10" s="5"/>
      <c r="AD10" s="5"/>
      <c r="AE10" s="5"/>
      <c r="AF10" s="5"/>
      <c r="AG10" s="5"/>
      <c r="AH10" s="5"/>
      <c r="AI10" s="5"/>
      <c r="AJ10" s="5"/>
      <c r="AK10" s="5"/>
    </row>
    <row r="11" spans="1:39" s="3" customFormat="1" ht="20">
      <c r="B11" s="471" t="s">
        <v>119</v>
      </c>
      <c r="C11" s="492">
        <v>20000</v>
      </c>
      <c r="D11" s="493">
        <v>15</v>
      </c>
      <c r="E11" s="484">
        <v>0.28000000000000003</v>
      </c>
      <c r="F11" s="485">
        <v>1.7</v>
      </c>
      <c r="G11" s="476">
        <v>0.21759999999999999</v>
      </c>
      <c r="H11" s="486" t="s">
        <v>28</v>
      </c>
      <c r="I11" s="494">
        <v>36</v>
      </c>
      <c r="J11" s="495">
        <v>5</v>
      </c>
      <c r="K11" s="496">
        <v>85</v>
      </c>
      <c r="L11" s="480">
        <f t="shared" ref="L11:L12" si="8">IF(Q11=0,0,(C11*(((E11*(((Q11*D11)/1000))^F11)/D11))/Q11))</f>
        <v>0</v>
      </c>
      <c r="M11" s="480">
        <f t="shared" si="1"/>
        <v>0</v>
      </c>
      <c r="N11" s="490">
        <f t="shared" ref="N11:N12" si="9">(I11*J11*(K11/100))/8.25</f>
        <v>18.545454545454547</v>
      </c>
      <c r="O11" s="485">
        <f>(FieldApplications!O10*SUM('Farm and Rotation Setup'!AH$5:AH$9))+(FieldApplications!N10*SUM('Farm and Rotation Setup'!AG$5:AG$9))+(FieldApplications!C10*SUM('Farm and Rotation Setup'!V$5:V$9))+(FieldApplications!D10*SUM('Farm and Rotation Setup'!W$5:W$9))+(FieldApplications!V10*SUM('Farm and Rotation Setup'!AO$5:AO$9))+(FieldApplications!E10*SUM('Farm and Rotation Setup'!X$5:X$9))+(FieldApplications!G10*SUM('Farm and Rotation Setup'!Z$5:Z$9))+(FieldApplications!W10*SUM('Farm and Rotation Setup'!AP$5:AP$9))+(FieldApplications!R10*SUM('Farm and Rotation Setup'!AK$5:AK$9))+(FieldApplications!P10*SUM('Farm and Rotation Setup'!AI$5:AI$9))+(FieldApplications!Q10*SUM('Farm and Rotation Setup'!AJ$5:AJ$9))+(FieldApplications!H10*SUM('Farm and Rotation Setup'!AA$5:AA$9))+(FieldApplications!X10*SUM('Farm and Rotation Setup'!AQ$5:AQ$9))+(FieldApplications!J10*SUM('Farm and Rotation Setup'!AC$5:AC$9))+(FieldApplications!I10*SUM('Farm and Rotation Setup'!AB$5:AB$9))+(FieldApplications!U10*SUM('Farm and Rotation Setup'!AN$5:AN$9))+(FieldApplications!T10*SUM('Farm and Rotation Setup'!AM$5:AM$9))+(FieldApplications!S10*SUM('Farm and Rotation Setup'!AL$5:AL$9))+(FieldApplications!Y10*SUM('Farm and Rotation Setup'!AR$5:AR$9))+(FieldApplications!F10*SUM('Farm and Rotation Setup'!Y$5:Y$9))+(FieldApplications!Z10*SUM('Farm and Rotation Setup'!AS$5:AS$9))+(FieldApplications!K10*SUM('Farm and Rotation Setup'!AD$5:AD$9))+(FieldApplications!L10*SUM('Farm and Rotation Setup'!AE$5:AE$9))+(FieldApplications!M10*SUM('Farm and Rotation Setup'!AF$5:AF$9))</f>
        <v>0</v>
      </c>
      <c r="P11" s="8">
        <v>1</v>
      </c>
      <c r="Q11" s="481">
        <f t="shared" ref="Q11:Q12" si="10">O11/N11</f>
        <v>0</v>
      </c>
      <c r="R11" s="480">
        <f>IF(Q11=0,0,(MachineAssumptions!$D$30*1.1)/N11)</f>
        <v>0</v>
      </c>
      <c r="S11" s="480">
        <f>IF(Q11=0,0,(MachineAssumptions!$D$29*$H$5*1.15)/N11)</f>
        <v>0</v>
      </c>
      <c r="T11" s="480">
        <f t="shared" ref="T11:T12" si="11">IF(Q11=0,0,((L11+$L$5)/N11))</f>
        <v>0</v>
      </c>
      <c r="U11" s="480">
        <f t="shared" ref="U11:U12" si="12">IF(Q11=0,0,((M11+$M$5)/N11))</f>
        <v>0</v>
      </c>
      <c r="V11" s="5"/>
      <c r="W11" s="505" t="s">
        <v>8</v>
      </c>
      <c r="X11" s="313" t="s">
        <v>8</v>
      </c>
      <c r="Y11" s="5"/>
      <c r="Z11" s="5"/>
      <c r="AA11" s="5"/>
      <c r="AB11" s="5"/>
      <c r="AC11" s="5"/>
      <c r="AD11" s="5"/>
      <c r="AE11" s="5"/>
      <c r="AF11" s="5"/>
      <c r="AG11" s="5"/>
      <c r="AH11" s="5"/>
      <c r="AI11" s="5"/>
      <c r="AJ11" s="5"/>
      <c r="AK11" s="5"/>
    </row>
    <row r="12" spans="1:39" s="3" customFormat="1" ht="20">
      <c r="B12" s="471" t="s">
        <v>120</v>
      </c>
      <c r="C12" s="492">
        <v>25000</v>
      </c>
      <c r="D12" s="493">
        <v>15</v>
      </c>
      <c r="E12" s="484">
        <v>0.28000000000000003</v>
      </c>
      <c r="F12" s="485">
        <v>1.7</v>
      </c>
      <c r="G12" s="476">
        <v>0.21759999999999999</v>
      </c>
      <c r="H12" s="486" t="s">
        <v>28</v>
      </c>
      <c r="I12" s="494">
        <v>36</v>
      </c>
      <c r="J12" s="495">
        <v>5</v>
      </c>
      <c r="K12" s="496">
        <v>85</v>
      </c>
      <c r="L12" s="480">
        <f t="shared" si="8"/>
        <v>0</v>
      </c>
      <c r="M12" s="480">
        <f t="shared" si="1"/>
        <v>0</v>
      </c>
      <c r="N12" s="490">
        <f t="shared" si="9"/>
        <v>18.545454545454547</v>
      </c>
      <c r="O12" s="485">
        <f>(FieldApplications!O11*SUM('Farm and Rotation Setup'!AH$5:AH$9))+(FieldApplications!N11*SUM('Farm and Rotation Setup'!AG$5:AG$9))+(FieldApplications!C11*SUM('Farm and Rotation Setup'!V$5:V$9))+(FieldApplications!D11*SUM('Farm and Rotation Setup'!W$5:W$9))+(FieldApplications!V11*SUM('Farm and Rotation Setup'!AO$5:AO$9))+(FieldApplications!E11*SUM('Farm and Rotation Setup'!X$5:X$9))+(FieldApplications!G11*SUM('Farm and Rotation Setup'!Z$5:Z$9))+(FieldApplications!W11*SUM('Farm and Rotation Setup'!AP$5:AP$9))+(FieldApplications!R11*SUM('Farm and Rotation Setup'!AK$5:AK$9))+(FieldApplications!P11*SUM('Farm and Rotation Setup'!AI$5:AI$9))+(FieldApplications!Q11*SUM('Farm and Rotation Setup'!AJ$5:AJ$9))+(FieldApplications!H11*SUM('Farm and Rotation Setup'!AA$5:AA$9))+(FieldApplications!X11*SUM('Farm and Rotation Setup'!AQ$5:AQ$9))+(FieldApplications!J11*SUM('Farm and Rotation Setup'!AC$5:AC$9))+(FieldApplications!I11*SUM('Farm and Rotation Setup'!AB$5:AB$9))+(FieldApplications!U11*SUM('Farm and Rotation Setup'!AN$5:AN$9))+(FieldApplications!T11*SUM('Farm and Rotation Setup'!AM$5:AM$9))+(FieldApplications!S11*SUM('Farm and Rotation Setup'!AL$5:AL$9))+(FieldApplications!Y11*SUM('Farm and Rotation Setup'!AR$5:AR$9))+(FieldApplications!F11*SUM('Farm and Rotation Setup'!Y$5:Y$9))+(FieldApplications!Z11*SUM('Farm and Rotation Setup'!AS$5:AS$9))+(FieldApplications!K11*SUM('Farm and Rotation Setup'!AD$5:AD$9))+(FieldApplications!L11*SUM('Farm and Rotation Setup'!AE$5:AE$9))+(FieldApplications!M11*SUM('Farm and Rotation Setup'!AF$5:AF$9))</f>
        <v>0</v>
      </c>
      <c r="P12" s="8">
        <v>1</v>
      </c>
      <c r="Q12" s="481">
        <f t="shared" si="10"/>
        <v>0</v>
      </c>
      <c r="R12" s="480">
        <f>IF(Q12=0,0,(MachineAssumptions!$D$30*1.1)/N12)</f>
        <v>0</v>
      </c>
      <c r="S12" s="480">
        <f>IF(Q12=0,0,(MachineAssumptions!$D$29*$H$5*1.15)/N12)</f>
        <v>0</v>
      </c>
      <c r="T12" s="480">
        <f t="shared" si="11"/>
        <v>0</v>
      </c>
      <c r="U12" s="480">
        <f t="shared" si="12"/>
        <v>0</v>
      </c>
      <c r="V12" s="5"/>
      <c r="W12" s="505" t="s">
        <v>8</v>
      </c>
      <c r="X12" s="313" t="s">
        <v>8</v>
      </c>
      <c r="Y12" s="5"/>
      <c r="Z12" s="5"/>
      <c r="AA12" s="5"/>
      <c r="AB12" s="5"/>
      <c r="AC12" s="5"/>
      <c r="AD12" s="5"/>
      <c r="AE12" s="5"/>
      <c r="AF12" s="5"/>
      <c r="AG12" s="5"/>
      <c r="AH12" s="5"/>
      <c r="AI12" s="5"/>
      <c r="AJ12" s="5"/>
      <c r="AK12" s="5"/>
    </row>
    <row r="13" spans="1:39" s="3" customFormat="1" ht="20">
      <c r="B13" s="471" t="s">
        <v>123</v>
      </c>
      <c r="C13" s="498">
        <v>150000</v>
      </c>
      <c r="D13" s="493">
        <v>10</v>
      </c>
      <c r="E13" s="484">
        <v>0.32</v>
      </c>
      <c r="F13" s="485">
        <v>2.1</v>
      </c>
      <c r="G13" s="497">
        <v>0.33789999999999998</v>
      </c>
      <c r="H13" s="486" t="s">
        <v>28</v>
      </c>
      <c r="I13" s="487">
        <v>36</v>
      </c>
      <c r="J13" s="488">
        <v>4.9000000000000004</v>
      </c>
      <c r="K13" s="489">
        <v>70</v>
      </c>
      <c r="L13" s="480">
        <f t="shared" si="0"/>
        <v>84.39530896272025</v>
      </c>
      <c r="M13" s="480">
        <f t="shared" si="1"/>
        <v>59.458987636363638</v>
      </c>
      <c r="N13" s="490">
        <f t="shared" si="4"/>
        <v>14.967272727272727</v>
      </c>
      <c r="O13" s="485">
        <f>(FieldApplications!O12*SUM('Farm and Rotation Setup'!AH$5:AH$9))+(FieldApplications!N12*SUM('Farm and Rotation Setup'!AG$5:AG$9))+(FieldApplications!C12*SUM('Farm and Rotation Setup'!V$5:V$9))+(FieldApplications!D12*SUM('Farm and Rotation Setup'!W$5:W$9))+(FieldApplications!V12*SUM('Farm and Rotation Setup'!AO$5:AO$9))+(FieldApplications!E12*SUM('Farm and Rotation Setup'!X$5:X$9))+(FieldApplications!G12*SUM('Farm and Rotation Setup'!Z$5:Z$9))+(FieldApplications!W12*SUM('Farm and Rotation Setup'!AP$5:AP$9))+(FieldApplications!R12*SUM('Farm and Rotation Setup'!AK$5:AK$9))+(FieldApplications!P12*SUM('Farm and Rotation Setup'!AI$5:AI$9))+(FieldApplications!Q12*SUM('Farm and Rotation Setup'!AJ$5:AJ$9))+(FieldApplications!H12*SUM('Farm and Rotation Setup'!AA$5:AA$9))+(FieldApplications!X12*SUM('Farm and Rotation Setup'!AQ$5:AQ$9))+(FieldApplications!J12*SUM('Farm and Rotation Setup'!AC$5:AC$9))+(FieldApplications!I12*SUM('Farm and Rotation Setup'!AB$5:AB$9))+(FieldApplications!U12*SUM('Farm and Rotation Setup'!AN$5:AN$9))+(FieldApplications!T12*SUM('Farm and Rotation Setup'!AM$5:AM$9))+(FieldApplications!S12*SUM('Farm and Rotation Setup'!AL$5:AL$9))+(FieldApplications!Y12*SUM('Farm and Rotation Setup'!AR$5:AR$9))+(FieldApplications!F12*SUM('Farm and Rotation Setup'!Y$5:Y$9))+(FieldApplications!Z12*SUM('Farm and Rotation Setup'!AS$5:AS$9))+(FieldApplications!K12*SUM('Farm and Rotation Setup'!AD$5:AD$9))+(FieldApplications!L12*SUM('Farm and Rotation Setup'!AE$5:AE$9))+(FieldApplications!M12*SUM('Farm and Rotation Setup'!AF$5:AF$9))</f>
        <v>2500</v>
      </c>
      <c r="P13" s="8">
        <v>1</v>
      </c>
      <c r="Q13" s="481">
        <f t="shared" si="7"/>
        <v>167.03109815354713</v>
      </c>
      <c r="R13" s="480">
        <f>IF(Q13=0,0,(MachineAssumptions!$D$30*1.25)/N13)</f>
        <v>1.6703109815354713</v>
      </c>
      <c r="S13" s="480">
        <f>IF(Q13=0,0,(MachineAssumptions!$D$29*$H$5*1.15)/N13)</f>
        <v>6.146744412050535</v>
      </c>
      <c r="T13" s="480">
        <f t="shared" si="5"/>
        <v>5.740409656342587</v>
      </c>
      <c r="U13" s="480">
        <f t="shared" si="6"/>
        <v>7.2419265221735989</v>
      </c>
      <c r="V13" s="5">
        <v>200</v>
      </c>
      <c r="W13" s="504">
        <f t="shared" si="2"/>
        <v>6.0663227708179814</v>
      </c>
      <c r="X13" s="5" t="str">
        <f t="shared" si="3"/>
        <v>Drill</v>
      </c>
      <c r="Y13" s="5"/>
      <c r="Z13" s="5"/>
      <c r="AA13" s="5"/>
      <c r="AB13" s="5"/>
      <c r="AC13" s="5"/>
      <c r="AD13" s="5"/>
      <c r="AE13" s="5"/>
      <c r="AF13" s="5"/>
      <c r="AG13" s="5"/>
      <c r="AH13" s="5"/>
      <c r="AI13" s="5"/>
      <c r="AJ13" s="5"/>
      <c r="AK13" s="5"/>
    </row>
    <row r="14" spans="1:39" s="3" customFormat="1" ht="20">
      <c r="B14" s="471" t="s">
        <v>366</v>
      </c>
      <c r="C14" s="472">
        <v>300000</v>
      </c>
      <c r="D14" s="473">
        <v>10</v>
      </c>
      <c r="E14" s="474">
        <v>0.12</v>
      </c>
      <c r="F14" s="475">
        <v>2.2999999999999998</v>
      </c>
      <c r="G14" s="476">
        <v>0.19139999999999999</v>
      </c>
      <c r="H14" s="477">
        <v>14</v>
      </c>
      <c r="I14" s="487">
        <v>36</v>
      </c>
      <c r="J14" s="488">
        <v>4.5999999999999996</v>
      </c>
      <c r="K14" s="489">
        <v>65</v>
      </c>
      <c r="L14" s="480">
        <f t="shared" si="0"/>
        <v>83.839532764862781</v>
      </c>
      <c r="M14" s="480">
        <f t="shared" si="1"/>
        <v>126.60029672727272</v>
      </c>
      <c r="N14" s="490">
        <f t="shared" si="4"/>
        <v>13.047272727272727</v>
      </c>
      <c r="O14" s="485">
        <f>(FieldApplications!O13*SUM('Farm and Rotation Setup'!AH$5:AH$9))+(FieldApplications!N13*SUM('Farm and Rotation Setup'!AG$5:AG$9))+(FieldApplications!C13*SUM('Farm and Rotation Setup'!V$5:V$9))+(FieldApplications!D13*SUM('Farm and Rotation Setup'!W$5:W$9))+(FieldApplications!V13*SUM('Farm and Rotation Setup'!AO$5:AO$9))+(FieldApplications!E13*SUM('Farm and Rotation Setup'!X$5:X$9))+(FieldApplications!G13*SUM('Farm and Rotation Setup'!Z$5:Z$9))+(FieldApplications!W13*SUM('Farm and Rotation Setup'!AP$5:AP$9))+(FieldApplications!R13*SUM('Farm and Rotation Setup'!AK$5:AK$9))+(FieldApplications!P13*SUM('Farm and Rotation Setup'!AI$5:AI$9))+(FieldApplications!Q13*SUM('Farm and Rotation Setup'!AJ$5:AJ$9))+(FieldApplications!H13*SUM('Farm and Rotation Setup'!AA$5:AA$9))+(FieldApplications!X13*SUM('Farm and Rotation Setup'!AQ$5:AQ$9))+(FieldApplications!J13*SUM('Farm and Rotation Setup'!AC$5:AC$9))+(FieldApplications!I13*SUM('Farm and Rotation Setup'!AB$5:AB$9))+(FieldApplications!U13*SUM('Farm and Rotation Setup'!AN$5:AN$9))+(FieldApplications!T13*SUM('Farm and Rotation Setup'!AM$5:AM$9))+(FieldApplications!S13*SUM('Farm and Rotation Setup'!AL$5:AL$9))+(FieldApplications!Y13*SUM('Farm and Rotation Setup'!AR$5:AR$9))+(FieldApplications!F13*SUM('Farm and Rotation Setup'!Y$5:Y$9))+(FieldApplications!Z13*SUM('Farm and Rotation Setup'!AS$5:AS$9))+(FieldApplications!K13*SUM('Farm and Rotation Setup'!AD$5:AD$9))+(FieldApplications!L13*SUM('Farm and Rotation Setup'!AE$5:AE$9))+(FieldApplications!M13*SUM('Farm and Rotation Setup'!AF$5:AF$9))</f>
        <v>2500</v>
      </c>
      <c r="P14" s="8" t="s">
        <v>97</v>
      </c>
      <c r="Q14" s="481">
        <f t="shared" si="7"/>
        <v>191.61092530657749</v>
      </c>
      <c r="R14" s="480">
        <f>IF(Q14=0,0,(MachineAssumptions!$D$30*1.25)/N14)</f>
        <v>1.9161092530657748</v>
      </c>
      <c r="S14" s="480">
        <f>IF(Q14=0,0,(MachineAssumptions!$D$29*$H$5*1.15)/N14)</f>
        <v>7.0512820512820511</v>
      </c>
      <c r="T14" s="480">
        <f>IF(Q14=0,0,((L14)/N14))</f>
        <v>6.4258281801385913</v>
      </c>
      <c r="U14" s="480">
        <f>IF(Q14=0,0,((M14)/N14))</f>
        <v>9.7031999999999989</v>
      </c>
      <c r="V14" s="5">
        <v>225</v>
      </c>
      <c r="W14" s="504">
        <f t="shared" si="2"/>
        <v>6.738731218697831</v>
      </c>
      <c r="X14" s="5" t="str">
        <f t="shared" si="3"/>
        <v>Combine w/ 36' header</v>
      </c>
      <c r="Y14" s="5"/>
      <c r="Z14" s="5"/>
      <c r="AA14" s="5"/>
      <c r="AB14" s="5"/>
      <c r="AC14" s="5"/>
      <c r="AD14" s="5"/>
      <c r="AE14" s="5"/>
      <c r="AF14" s="5"/>
      <c r="AG14" s="5"/>
      <c r="AH14" s="5"/>
      <c r="AI14" s="5"/>
      <c r="AJ14" s="5"/>
      <c r="AK14" s="5"/>
    </row>
    <row r="15" spans="1:39" s="3" customFormat="1" ht="20">
      <c r="B15" s="471" t="s">
        <v>69</v>
      </c>
      <c r="C15" s="472">
        <v>18000</v>
      </c>
      <c r="D15" s="473">
        <v>15</v>
      </c>
      <c r="E15" s="474">
        <v>0.19</v>
      </c>
      <c r="F15" s="475">
        <v>1.3</v>
      </c>
      <c r="G15" s="476">
        <v>0.66</v>
      </c>
      <c r="H15" s="486" t="s">
        <v>28</v>
      </c>
      <c r="I15" s="486" t="s">
        <v>28</v>
      </c>
      <c r="J15" s="486" t="s">
        <v>28</v>
      </c>
      <c r="K15" s="486" t="s">
        <v>28</v>
      </c>
      <c r="L15" s="480">
        <f>IF(Q15=0,0,(C15*(((E15*(((Q15*D15)/1000))^F15)/D15))/Q15))</f>
        <v>4.5331132197900024</v>
      </c>
      <c r="M15" s="480">
        <f>IF(Q15=0,0,((C15-(C15*(G15)))/D15)/Q15)</f>
        <v>2.3924886618998977</v>
      </c>
      <c r="N15" s="490">
        <f>N14</f>
        <v>13.047272727272727</v>
      </c>
      <c r="O15" s="485">
        <f>(FieldApplications!O17*SUM('Farm and Rotation Setup'!AH$5:AH$9))+(FieldApplications!N17*SUM('Farm and Rotation Setup'!AG$5:AG$9))+(FieldApplications!C17*SUM('Farm and Rotation Setup'!V$5:V$9))+(FieldApplications!D17*SUM('Farm and Rotation Setup'!W$5:W$9))+(FieldApplications!V17*SUM('Farm and Rotation Setup'!AO$5:AO$9))+(FieldApplications!E17*SUM('Farm and Rotation Setup'!X$5:X$9))+(FieldApplications!G17*SUM('Farm and Rotation Setup'!Z$5:Z$9))+(FieldApplications!W17*SUM('Farm and Rotation Setup'!AP$5:AP$9))+(FieldApplications!R17*SUM('Farm and Rotation Setup'!AK$5:AK$9))+(FieldApplications!P17*SUM('Farm and Rotation Setup'!AI$5:AI$9))+(FieldApplications!Q17*SUM('Farm and Rotation Setup'!AJ$5:AJ$9))+(FieldApplications!H17*SUM('Farm and Rotation Setup'!AA$5:AA$9))+(FieldApplications!X17*SUM('Farm and Rotation Setup'!AQ$5:AQ$9))+(FieldApplications!J17*SUM('Farm and Rotation Setup'!AC$5:AC$9))+(FieldApplications!I17*SUM('Farm and Rotation Setup'!AB$5:AB$9))+(FieldApplications!U17*SUM('Farm and Rotation Setup'!AN$5:AN$9))+(FieldApplications!T17*SUM('Farm and Rotation Setup'!AM$5:AM$9))+(FieldApplications!S17*SUM('Farm and Rotation Setup'!AL$5:AL$9))+(FieldApplications!Y17*SUM('Farm and Rotation Setup'!AR$5:AR$9))+(FieldApplications!F17*SUM('Farm and Rotation Setup'!Y$5:Y$9))+(FieldApplications!Z17*SUM('Farm and Rotation Setup'!AS$5:AS$9))+(FieldApplications!K17*SUM('Farm and Rotation Setup'!AD$5:AD$9))+(FieldApplications!L17*SUM('Farm and Rotation Setup'!AE$5:AE$9))+(FieldApplications!M17*SUM('Farm and Rotation Setup'!AF$5:AF$9))</f>
        <v>0</v>
      </c>
      <c r="P15" s="8">
        <v>2</v>
      </c>
      <c r="Q15" s="481">
        <f>Q14*0.89</f>
        <v>170.53372352285396</v>
      </c>
      <c r="R15" s="480">
        <f>IF(Q15=0,0,(MachineAssumptions!$D$30*1.1)/N15)</f>
        <v>1.6861761426978819</v>
      </c>
      <c r="S15" s="480">
        <f>IF(Q15=0,0,(MachineAssumptions!$D$29*$H$6*1.15)/N15)</f>
        <v>7.0512820512820511</v>
      </c>
      <c r="T15" s="480">
        <f>IF(Q15=0,0,((L15+$L$6)/N15))</f>
        <v>0.5058930256896228</v>
      </c>
      <c r="U15" s="480">
        <f>IF(Q15=0,0,((M15+$M$6)/N15))</f>
        <v>2.9461434675395459</v>
      </c>
      <c r="V15" s="5">
        <v>200</v>
      </c>
      <c r="W15" s="504">
        <f>V15/(V15-Q15)</f>
        <v>6.7874201938992682</v>
      </c>
      <c r="X15" s="5" t="str">
        <f>B15</f>
        <v>Bankout Wagon</v>
      </c>
      <c r="Y15" s="5"/>
      <c r="Z15" s="5"/>
      <c r="AA15" s="5"/>
      <c r="AB15" s="5"/>
      <c r="AC15" s="5"/>
      <c r="AD15" s="5"/>
      <c r="AE15" s="5"/>
      <c r="AF15" s="5"/>
      <c r="AG15" s="5"/>
      <c r="AH15" s="5"/>
      <c r="AI15" s="5"/>
      <c r="AJ15" s="5"/>
      <c r="AK15" s="5"/>
    </row>
    <row r="16" spans="1:39" s="3" customFormat="1" ht="20">
      <c r="B16" s="471" t="s">
        <v>124</v>
      </c>
      <c r="C16" s="472">
        <v>25000</v>
      </c>
      <c r="D16" s="473">
        <v>20</v>
      </c>
      <c r="E16" s="474">
        <v>0.63</v>
      </c>
      <c r="F16" s="475">
        <v>1.3</v>
      </c>
      <c r="G16" s="476">
        <v>0.66</v>
      </c>
      <c r="H16" s="479" t="s">
        <v>28</v>
      </c>
      <c r="I16" s="487">
        <v>40</v>
      </c>
      <c r="J16" s="488">
        <v>6</v>
      </c>
      <c r="K16" s="489">
        <v>70</v>
      </c>
      <c r="L16" s="480">
        <f t="shared" si="0"/>
        <v>0</v>
      </c>
      <c r="M16" s="480">
        <f t="shared" si="1"/>
        <v>0</v>
      </c>
      <c r="N16" s="490">
        <f t="shared" si="4"/>
        <v>20.363636363636363</v>
      </c>
      <c r="O16" s="485">
        <f>(FieldApplications!O14*SUM('Farm and Rotation Setup'!AH$5:AH$9))+(FieldApplications!N14*SUM('Farm and Rotation Setup'!AG$5:AG$9))+(FieldApplications!C14*SUM('Farm and Rotation Setup'!V$5:V$9))+(FieldApplications!D14*SUM('Farm and Rotation Setup'!W$5:W$9))+(FieldApplications!V14*SUM('Farm and Rotation Setup'!AO$5:AO$9))+(FieldApplications!E14*SUM('Farm and Rotation Setup'!X$5:X$9))+(FieldApplications!G14*SUM('Farm and Rotation Setup'!Z$5:Z$9))+(FieldApplications!W14*SUM('Farm and Rotation Setup'!AP$5:AP$9))+(FieldApplications!R14*SUM('Farm and Rotation Setup'!AK$5:AK$9))+(FieldApplications!P14*SUM('Farm and Rotation Setup'!AI$5:AI$9))+(FieldApplications!Q14*SUM('Farm and Rotation Setup'!AJ$5:AJ$9))+(FieldApplications!H14*SUM('Farm and Rotation Setup'!AA$5:AA$9))+(FieldApplications!X14*SUM('Farm and Rotation Setup'!AQ$5:AQ$9))+(FieldApplications!J14*SUM('Farm and Rotation Setup'!AC$5:AC$9))+(FieldApplications!I14*SUM('Farm and Rotation Setup'!AB$5:AB$9))+(FieldApplications!U14*SUM('Farm and Rotation Setup'!AN$5:AN$9))+(FieldApplications!T14*SUM('Farm and Rotation Setup'!AM$5:AM$9))+(FieldApplications!S14*SUM('Farm and Rotation Setup'!AL$5:AL$9))+(FieldApplications!Y14*SUM('Farm and Rotation Setup'!AR$5:AR$9))+(FieldApplications!F14*SUM('Farm and Rotation Setup'!Y$5:Y$9))+(FieldApplications!Z14*SUM('Farm and Rotation Setup'!AS$5:AS$9))+(FieldApplications!K14*SUM('Farm and Rotation Setup'!AD$5:AD$9))+(FieldApplications!L14*SUM('Farm and Rotation Setup'!AE$5:AE$9))+(FieldApplications!M14*SUM('Farm and Rotation Setup'!AF$5:AF$9))</f>
        <v>0</v>
      </c>
      <c r="P16" s="8">
        <v>2</v>
      </c>
      <c r="Q16" s="481">
        <f t="shared" si="7"/>
        <v>0</v>
      </c>
      <c r="R16" s="480">
        <f>IF(Q16=0,0,(MachineAssumptions!$D$30*1.1)/N16)</f>
        <v>0</v>
      </c>
      <c r="S16" s="480">
        <f>IF(Q16=0,0,(MachineAssumptions!$D$29*$H$5*1.15)/N16)</f>
        <v>0</v>
      </c>
      <c r="T16" s="480">
        <f>IF(Q16=0,0,((L16+$L$6)/N16))</f>
        <v>0</v>
      </c>
      <c r="U16" s="480">
        <f>IF(Q16=0,0,((M16+$M$6)/N16))</f>
        <v>0</v>
      </c>
      <c r="V16" s="5"/>
      <c r="W16" s="505" t="s">
        <v>8</v>
      </c>
      <c r="X16" s="313" t="s">
        <v>8</v>
      </c>
      <c r="Y16" s="5"/>
      <c r="Z16" s="5"/>
      <c r="AA16" s="5"/>
      <c r="AB16" s="5"/>
      <c r="AC16" s="5"/>
      <c r="AD16" s="5"/>
      <c r="AE16" s="5"/>
      <c r="AF16" s="5"/>
      <c r="AG16" s="5"/>
      <c r="AH16" s="5"/>
      <c r="AI16" s="5"/>
      <c r="AJ16" s="5"/>
      <c r="AK16" s="5"/>
    </row>
    <row r="17" spans="2:37" s="3" customFormat="1" ht="20">
      <c r="B17" s="471" t="s">
        <v>367</v>
      </c>
      <c r="C17" s="472">
        <v>30000</v>
      </c>
      <c r="D17" s="473">
        <v>20</v>
      </c>
      <c r="E17" s="474">
        <v>0.41</v>
      </c>
      <c r="F17" s="475">
        <v>1.3</v>
      </c>
      <c r="G17" s="476">
        <v>0.2626</v>
      </c>
      <c r="H17" s="486" t="s">
        <v>28</v>
      </c>
      <c r="I17" s="487">
        <v>16.5</v>
      </c>
      <c r="J17" s="488">
        <v>7</v>
      </c>
      <c r="K17" s="489">
        <v>70</v>
      </c>
      <c r="L17" s="480">
        <f t="shared" si="0"/>
        <v>20.055259695517741</v>
      </c>
      <c r="M17" s="480">
        <f t="shared" si="1"/>
        <v>4.3359119999999987</v>
      </c>
      <c r="N17" s="490">
        <f t="shared" si="4"/>
        <v>9.7999999999999989</v>
      </c>
      <c r="O17" s="485">
        <f>(FieldApplications!O15*SUM('Farm and Rotation Setup'!AH$5:AH$9))+(FieldApplications!N15*SUM('Farm and Rotation Setup'!AG$5:AG$9))+(FieldApplications!C15*SUM('Farm and Rotation Setup'!V$5:V$9))+(FieldApplications!D15*SUM('Farm and Rotation Setup'!W$5:W$9))+(FieldApplications!V15*SUM('Farm and Rotation Setup'!AO$5:AO$9))+(FieldApplications!E15*SUM('Farm and Rotation Setup'!X$5:X$9))+(FieldApplications!G15*SUM('Farm and Rotation Setup'!Z$5:Z$9))+(FieldApplications!W15*SUM('Farm and Rotation Setup'!AP$5:AP$9))+(FieldApplications!R15*SUM('Farm and Rotation Setup'!AK$5:AK$9))+(FieldApplications!P15*SUM('Farm and Rotation Setup'!AI$5:AI$9))+(FieldApplications!Q15*SUM('Farm and Rotation Setup'!AJ$5:AJ$9))+(FieldApplications!H15*SUM('Farm and Rotation Setup'!AA$5:AA$9))+(FieldApplications!X15*SUM('Farm and Rotation Setup'!AQ$5:AQ$9))+(FieldApplications!J15*SUM('Farm and Rotation Setup'!AC$5:AC$9))+(FieldApplications!I15*SUM('Farm and Rotation Setup'!AB$5:AB$9))+(FieldApplications!U15*SUM('Farm and Rotation Setup'!AN$5:AN$9))+(FieldApplications!T15*SUM('Farm and Rotation Setup'!AM$5:AM$9))+(FieldApplications!S15*SUM('Farm and Rotation Setup'!AL$5:AL$9))+(FieldApplications!Y15*SUM('Farm and Rotation Setup'!AR$5:AR$9))+(FieldApplications!F15*SUM('Farm and Rotation Setup'!Y$5:Y$9))+(FieldApplications!Z15*SUM('Farm and Rotation Setup'!AS$5:AS$9))+(FieldApplications!K15*SUM('Farm and Rotation Setup'!AD$5:AD$9))+(FieldApplications!L15*SUM('Farm and Rotation Setup'!AE$5:AE$9))+(FieldApplications!M15*SUM('Farm and Rotation Setup'!AF$5:AF$9))</f>
        <v>2500</v>
      </c>
      <c r="P17" s="8" t="s">
        <v>97</v>
      </c>
      <c r="Q17" s="481">
        <f t="shared" si="7"/>
        <v>255.10204081632656</v>
      </c>
      <c r="R17" s="480">
        <f>IF(Q17=0,0,(MachineAssumptions!$D$30*1.1)/N17)</f>
        <v>2.2448979591836737</v>
      </c>
      <c r="S17" s="480">
        <f>IF(Q17=0,0,(MachineAssumptions!$D$29*$H$5*1.15)/N17)</f>
        <v>9.387755102040817</v>
      </c>
      <c r="T17" s="480">
        <f>IF(Q17=0,0,((L17)/N17))</f>
        <v>2.0464550709711982</v>
      </c>
      <c r="U17" s="480">
        <f>IF(Q17=0,0,((M17)/N17))</f>
        <v>0.44243999999999989</v>
      </c>
      <c r="V17" s="5"/>
      <c r="W17" s="504">
        <f t="shared" si="2"/>
        <v>0</v>
      </c>
      <c r="X17" s="5" t="str">
        <f t="shared" si="3"/>
        <v>Fertilizer tanks and pump</v>
      </c>
      <c r="Y17" s="5"/>
      <c r="Z17" s="5"/>
      <c r="AA17" s="5"/>
      <c r="AB17" s="5"/>
      <c r="AC17" s="5"/>
      <c r="AD17" s="5"/>
      <c r="AE17" s="5"/>
      <c r="AF17" s="5"/>
      <c r="AG17" s="5"/>
      <c r="AH17" s="5"/>
      <c r="AI17" s="5"/>
      <c r="AJ17" s="5"/>
      <c r="AK17" s="5"/>
    </row>
    <row r="18" spans="2:37" s="3" customFormat="1" ht="20">
      <c r="B18" s="471" t="s">
        <v>368</v>
      </c>
      <c r="C18" s="472">
        <v>42000</v>
      </c>
      <c r="D18" s="473">
        <v>20</v>
      </c>
      <c r="E18" s="474">
        <v>0.41</v>
      </c>
      <c r="F18" s="475">
        <v>1.3</v>
      </c>
      <c r="G18" s="476">
        <v>0.66</v>
      </c>
      <c r="H18" s="486" t="s">
        <v>28</v>
      </c>
      <c r="I18" s="487">
        <v>100</v>
      </c>
      <c r="J18" s="488">
        <v>6.47</v>
      </c>
      <c r="K18" s="489">
        <v>65</v>
      </c>
      <c r="L18" s="480">
        <f t="shared" si="0"/>
        <v>23.31645121980694</v>
      </c>
      <c r="M18" s="480">
        <f t="shared" si="1"/>
        <v>5.1995272727272726</v>
      </c>
      <c r="N18" s="490">
        <f t="shared" si="4"/>
        <v>50.975757575757576</v>
      </c>
      <c r="O18" s="485">
        <f>(FieldApplications!O16*SUM('Farm and Rotation Setup'!AH$5:AH$9))+(FieldApplications!N16*SUM('Farm and Rotation Setup'!AG$5:AG$9))+(FieldApplications!C16*SUM('Farm and Rotation Setup'!V$5:V$9))+(FieldApplications!D16*SUM('Farm and Rotation Setup'!W$5:W$9))+(FieldApplications!V16*SUM('Farm and Rotation Setup'!AO$5:AO$9))+(FieldApplications!E16*SUM('Farm and Rotation Setup'!X$5:X$9))+(FieldApplications!G16*SUM('Farm and Rotation Setup'!Z$5:Z$9))+(FieldApplications!W16*SUM('Farm and Rotation Setup'!AP$5:AP$9))+(FieldApplications!R16*SUM('Farm and Rotation Setup'!AK$5:AK$9))+(FieldApplications!P16*SUM('Farm and Rotation Setup'!AI$5:AI$9))+(FieldApplications!Q16*SUM('Farm and Rotation Setup'!AJ$5:AJ$9))+(FieldApplications!H16*SUM('Farm and Rotation Setup'!AA$5:AA$9))+(FieldApplications!X16*SUM('Farm and Rotation Setup'!AQ$5:AQ$9))+(FieldApplications!J16*SUM('Farm and Rotation Setup'!AC$5:AC$9))+(FieldApplications!I16*SUM('Farm and Rotation Setup'!AB$5:AB$9))+(FieldApplications!U16*SUM('Farm and Rotation Setup'!AN$5:AN$9))+(FieldApplications!T16*SUM('Farm and Rotation Setup'!AM$5:AM$9))+(FieldApplications!S16*SUM('Farm and Rotation Setup'!AL$5:AL$9))+(FieldApplications!Y16*SUM('Farm and Rotation Setup'!AR$5:AR$9))+(FieldApplications!F16*SUM('Farm and Rotation Setup'!Y$5:Y$9))+(FieldApplications!Z16*SUM('Farm and Rotation Setup'!AS$5:AS$9))+(FieldApplications!K16*SUM('Farm and Rotation Setup'!AD$5:AD$9))+(FieldApplications!L16*SUM('Farm and Rotation Setup'!AE$5:AE$9))+(FieldApplications!M16*SUM('Farm and Rotation Setup'!AF$5:AF$9))</f>
        <v>7000</v>
      </c>
      <c r="P18" s="8">
        <v>2</v>
      </c>
      <c r="Q18" s="481">
        <f t="shared" si="7"/>
        <v>137.32017596005232</v>
      </c>
      <c r="R18" s="480">
        <f>IF(Q18=0,0,(MachineAssumptions!$D$30*1.2)/N18)</f>
        <v>0.4708120318630365</v>
      </c>
      <c r="S18" s="480">
        <f>IF(Q18=0,0,(MachineAssumptions!$D$29*$H$5*1.15)/N18)</f>
        <v>1.8047794554749732</v>
      </c>
      <c r="T18" s="480">
        <f>IF(Q18=0,0,((L18+$L$6)/N18))</f>
        <v>0.49795949063219769</v>
      </c>
      <c r="U18" s="480">
        <f>IF(Q18=0,0,((M18+$M$6)/N18))</f>
        <v>0.80913316225248511</v>
      </c>
      <c r="V18" s="5">
        <v>200</v>
      </c>
      <c r="W18" s="504">
        <f t="shared" si="2"/>
        <v>3.1908194233687412</v>
      </c>
      <c r="X18" s="5" t="str">
        <f t="shared" si="3"/>
        <v>Boom sprayer</v>
      </c>
      <c r="Y18" s="5"/>
      <c r="Z18" s="5"/>
      <c r="AA18" s="5"/>
      <c r="AB18" s="5"/>
      <c r="AC18" s="5"/>
      <c r="AD18" s="5"/>
      <c r="AE18" s="5"/>
      <c r="AF18" s="5"/>
      <c r="AG18" s="5"/>
      <c r="AH18" s="5"/>
      <c r="AI18" s="5"/>
      <c r="AJ18" s="5"/>
      <c r="AK18" s="5"/>
    </row>
    <row r="19" spans="2:37" s="3" customFormat="1" ht="20">
      <c r="B19" s="471" t="s">
        <v>386</v>
      </c>
      <c r="C19" s="472">
        <v>40000</v>
      </c>
      <c r="D19" s="499">
        <v>10</v>
      </c>
      <c r="E19" s="474"/>
      <c r="F19" s="475"/>
      <c r="G19" s="476">
        <v>0</v>
      </c>
      <c r="H19" s="477">
        <v>6</v>
      </c>
      <c r="I19" s="486" t="s">
        <v>28</v>
      </c>
      <c r="J19" s="486" t="s">
        <v>28</v>
      </c>
      <c r="K19" s="486" t="s">
        <v>28</v>
      </c>
      <c r="L19" s="480">
        <f t="shared" si="0"/>
        <v>0</v>
      </c>
      <c r="M19" s="480">
        <f t="shared" si="1"/>
        <v>0</v>
      </c>
      <c r="N19" s="5"/>
      <c r="O19" s="11">
        <v>7500</v>
      </c>
      <c r="P19" s="5"/>
      <c r="Q19" s="5"/>
      <c r="R19" s="480">
        <v>3.6</v>
      </c>
      <c r="S19" s="500">
        <v>1.1499999999999999</v>
      </c>
      <c r="T19" s="480">
        <v>0.8</v>
      </c>
      <c r="U19" s="480">
        <v>0.64</v>
      </c>
      <c r="V19" s="5"/>
      <c r="W19" s="5"/>
      <c r="X19" s="5"/>
      <c r="Y19" s="5"/>
      <c r="Z19" s="5"/>
      <c r="AA19" s="5"/>
      <c r="AB19" s="5"/>
      <c r="AC19" s="5"/>
      <c r="AD19" s="5"/>
      <c r="AE19" s="5"/>
      <c r="AF19" s="5"/>
      <c r="AG19" s="5"/>
      <c r="AH19" s="5"/>
      <c r="AI19" s="5"/>
      <c r="AJ19" s="5"/>
      <c r="AK19" s="5"/>
    </row>
    <row r="20" spans="2:37" s="3" customFormat="1" ht="20">
      <c r="B20" s="471" t="s">
        <v>386</v>
      </c>
      <c r="C20" s="472">
        <v>40000</v>
      </c>
      <c r="D20" s="499">
        <v>10</v>
      </c>
      <c r="E20" s="5"/>
      <c r="F20" s="5"/>
      <c r="G20" s="476">
        <v>0</v>
      </c>
      <c r="H20" s="477">
        <v>6</v>
      </c>
      <c r="I20" s="486" t="s">
        <v>28</v>
      </c>
      <c r="J20" s="486" t="s">
        <v>28</v>
      </c>
      <c r="K20" s="486" t="s">
        <v>28</v>
      </c>
      <c r="L20" s="480">
        <f t="shared" si="0"/>
        <v>0</v>
      </c>
      <c r="M20" s="480">
        <f t="shared" si="1"/>
        <v>0</v>
      </c>
      <c r="N20" s="5"/>
      <c r="O20" s="11">
        <v>7500</v>
      </c>
      <c r="P20" s="5"/>
      <c r="Q20" s="5"/>
      <c r="R20" s="480">
        <v>3.6</v>
      </c>
      <c r="S20" s="500">
        <v>1.72</v>
      </c>
      <c r="T20" s="480">
        <v>0.8</v>
      </c>
      <c r="U20" s="480">
        <v>0.64</v>
      </c>
      <c r="V20" s="5"/>
      <c r="W20" s="5"/>
      <c r="X20" s="5"/>
      <c r="Y20" s="5"/>
      <c r="Z20" s="5"/>
      <c r="AA20" s="5"/>
      <c r="AB20" s="5"/>
      <c r="AC20" s="5"/>
      <c r="AD20" s="5"/>
      <c r="AE20" s="5"/>
      <c r="AF20" s="5"/>
      <c r="AG20" s="5"/>
      <c r="AH20" s="5"/>
      <c r="AI20" s="5"/>
      <c r="AJ20" s="5"/>
      <c r="AK20" s="5"/>
    </row>
    <row r="21" spans="2:37" s="3" customFormat="1" ht="21"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row>
    <row r="22" spans="2:37" s="3" customFormat="1" ht="21" customHeight="1">
      <c r="B22" s="5"/>
      <c r="C22" s="5"/>
      <c r="D22" s="5"/>
      <c r="E22" s="5"/>
      <c r="F22" s="5"/>
      <c r="G22" s="5"/>
      <c r="H22" s="5"/>
      <c r="I22" s="5"/>
      <c r="J22" s="5"/>
      <c r="K22" s="5"/>
      <c r="L22" s="501" t="s">
        <v>144</v>
      </c>
      <c r="M22" s="5"/>
      <c r="N22" s="5"/>
      <c r="O22" s="5"/>
      <c r="P22" s="5"/>
      <c r="Q22" s="5"/>
      <c r="R22" s="5"/>
      <c r="S22" s="5"/>
      <c r="T22" s="5"/>
      <c r="U22" s="5"/>
      <c r="V22" s="5"/>
      <c r="W22" s="5"/>
      <c r="X22" s="5"/>
      <c r="Y22" s="5"/>
      <c r="Z22" s="5"/>
      <c r="AA22" s="5"/>
      <c r="AB22" s="5"/>
      <c r="AC22" s="5"/>
      <c r="AD22" s="5"/>
      <c r="AE22" s="5"/>
      <c r="AF22" s="5"/>
      <c r="AG22" s="5"/>
      <c r="AH22" s="5"/>
      <c r="AI22" s="5"/>
      <c r="AJ22" s="5"/>
      <c r="AK22" s="5"/>
    </row>
    <row r="23" spans="2:37" s="3" customFormat="1" ht="20">
      <c r="B23" s="445" t="s">
        <v>370</v>
      </c>
      <c r="C23" s="506"/>
      <c r="D23" s="506"/>
      <c r="E23" s="5"/>
      <c r="F23" s="5"/>
      <c r="G23" s="5"/>
      <c r="H23" s="5"/>
      <c r="I23" s="5"/>
      <c r="J23" s="5"/>
      <c r="K23" s="5"/>
      <c r="L23" s="685" t="s">
        <v>73</v>
      </c>
      <c r="M23" s="685" t="s">
        <v>82</v>
      </c>
      <c r="N23" s="685" t="s">
        <v>74</v>
      </c>
      <c r="O23" s="686" t="s">
        <v>75</v>
      </c>
      <c r="P23" s="687" t="s">
        <v>76</v>
      </c>
      <c r="Q23" s="688" t="s">
        <v>77</v>
      </c>
      <c r="R23" s="685" t="s">
        <v>78</v>
      </c>
      <c r="S23" s="685" t="s">
        <v>79</v>
      </c>
      <c r="T23" s="685" t="s">
        <v>80</v>
      </c>
      <c r="U23" s="685" t="s">
        <v>81</v>
      </c>
      <c r="V23" s="5" t="s">
        <v>280</v>
      </c>
      <c r="W23" s="5"/>
      <c r="X23" s="5"/>
      <c r="Y23" s="5"/>
      <c r="Z23" s="5"/>
      <c r="AA23" s="5"/>
      <c r="AB23" s="5"/>
      <c r="AC23" s="5"/>
      <c r="AD23" s="5"/>
      <c r="AE23" s="5"/>
      <c r="AF23" s="5"/>
      <c r="AG23" s="5"/>
      <c r="AH23" s="5"/>
      <c r="AI23" s="5"/>
      <c r="AJ23" s="5"/>
      <c r="AK23" s="5"/>
    </row>
    <row r="24" spans="2:37" s="3" customFormat="1" ht="20">
      <c r="B24" s="445"/>
      <c r="C24" s="366" t="s">
        <v>2</v>
      </c>
      <c r="D24" s="134" t="s">
        <v>12</v>
      </c>
      <c r="E24" s="5"/>
      <c r="F24" s="5"/>
      <c r="G24" s="5"/>
      <c r="H24" s="5"/>
      <c r="I24" s="5"/>
      <c r="J24" s="5"/>
      <c r="K24" s="5"/>
      <c r="L24" s="673"/>
      <c r="M24" s="673"/>
      <c r="N24" s="673"/>
      <c r="O24" s="683"/>
      <c r="P24" s="675"/>
      <c r="Q24" s="671"/>
      <c r="R24" s="673"/>
      <c r="S24" s="673"/>
      <c r="T24" s="673"/>
      <c r="U24" s="673"/>
      <c r="V24" s="5"/>
      <c r="W24" s="5"/>
      <c r="X24" s="5"/>
      <c r="Y24" s="5"/>
      <c r="Z24" s="5"/>
      <c r="AA24" s="5"/>
      <c r="AB24" s="5"/>
      <c r="AC24" s="5"/>
      <c r="AD24" s="5"/>
      <c r="AE24" s="5"/>
      <c r="AF24" s="5"/>
      <c r="AG24" s="5"/>
      <c r="AH24" s="5"/>
      <c r="AI24" s="5"/>
      <c r="AJ24" s="5"/>
      <c r="AK24" s="5"/>
    </row>
    <row r="25" spans="2:37" s="3" customFormat="1" ht="20">
      <c r="B25" s="198" t="s">
        <v>29</v>
      </c>
      <c r="C25" s="8" t="s">
        <v>30</v>
      </c>
      <c r="D25" s="136">
        <v>0.05</v>
      </c>
      <c r="E25" s="5"/>
      <c r="F25" s="5"/>
      <c r="G25" s="5"/>
      <c r="H25" s="5"/>
      <c r="I25" s="5"/>
      <c r="J25" s="5"/>
      <c r="K25" s="5"/>
      <c r="L25" s="674"/>
      <c r="M25" s="674"/>
      <c r="N25" s="674"/>
      <c r="O25" s="684"/>
      <c r="P25" s="676"/>
      <c r="Q25" s="672"/>
      <c r="R25" s="674"/>
      <c r="S25" s="674"/>
      <c r="T25" s="674"/>
      <c r="U25" s="674"/>
      <c r="V25" s="5"/>
      <c r="W25" s="5"/>
      <c r="X25" s="5"/>
      <c r="Y25" s="5"/>
      <c r="Z25" s="5"/>
      <c r="AA25" s="5"/>
      <c r="AB25" s="5"/>
      <c r="AC25" s="5"/>
      <c r="AD25" s="5"/>
      <c r="AE25" s="5"/>
      <c r="AF25" s="5"/>
      <c r="AG25" s="5"/>
      <c r="AH25" s="5"/>
      <c r="AI25" s="5"/>
      <c r="AJ25" s="5"/>
      <c r="AK25" s="5"/>
    </row>
    <row r="26" spans="2:37" s="3" customFormat="1" ht="20">
      <c r="B26" s="198" t="s">
        <v>90</v>
      </c>
      <c r="C26" s="8" t="s">
        <v>30</v>
      </c>
      <c r="D26" s="136">
        <v>6.7500000000000004E-2</v>
      </c>
      <c r="E26" s="502">
        <v>18000</v>
      </c>
      <c r="F26" s="503">
        <v>15</v>
      </c>
      <c r="G26" s="5"/>
      <c r="H26" s="503">
        <v>1.3</v>
      </c>
      <c r="I26" s="5"/>
      <c r="J26" s="5"/>
      <c r="K26" s="5"/>
      <c r="L26" s="480">
        <f>IF(Q26=0,0,(C5*(((E5*(((Q26*D5)/1000))^F5)/D5))/Q26))</f>
        <v>1.522967930029155</v>
      </c>
      <c r="M26" s="480">
        <f t="shared" ref="M26:M35" si="13">IF(Q26=0,0,((C5-(C5*(G5)))/D5)/Q26)*(1+V26)</f>
        <v>48.932901691878293</v>
      </c>
      <c r="N26" s="5"/>
      <c r="O26" s="313" t="s">
        <v>8</v>
      </c>
      <c r="P26" s="8">
        <v>1</v>
      </c>
      <c r="Q26" s="481">
        <f>Q28+Q30+Q31+Q32+Q33+Q34</f>
        <v>282.03109815354713</v>
      </c>
      <c r="R26" s="482" t="s">
        <v>8</v>
      </c>
      <c r="S26" s="483"/>
      <c r="T26" s="482" t="s">
        <v>8</v>
      </c>
      <c r="U26" s="482" t="s">
        <v>8</v>
      </c>
      <c r="V26" s="31">
        <f>IF(((Q26-Q5)/Q26)=0,0,((Q26-Q5)/Q26))</f>
        <v>0</v>
      </c>
      <c r="W26" s="5"/>
      <c r="X26" s="5"/>
      <c r="Y26" s="5"/>
      <c r="Z26" s="5"/>
      <c r="AA26" s="5"/>
      <c r="AB26" s="5"/>
      <c r="AC26" s="5"/>
      <c r="AD26" s="5"/>
      <c r="AE26" s="5"/>
      <c r="AF26" s="5"/>
      <c r="AG26" s="5"/>
      <c r="AH26" s="5"/>
      <c r="AI26" s="5"/>
      <c r="AJ26" s="5"/>
      <c r="AK26" s="5"/>
    </row>
    <row r="27" spans="2:37" s="3" customFormat="1" ht="20">
      <c r="B27" s="198" t="s">
        <v>36</v>
      </c>
      <c r="C27" s="8" t="s">
        <v>35</v>
      </c>
      <c r="D27" s="431">
        <v>9</v>
      </c>
      <c r="E27" s="502">
        <v>75000</v>
      </c>
      <c r="F27" s="503">
        <v>15</v>
      </c>
      <c r="G27" s="5"/>
      <c r="H27" s="503">
        <v>2</v>
      </c>
      <c r="I27" s="5"/>
      <c r="J27" s="5"/>
      <c r="K27" s="5"/>
      <c r="L27" s="480">
        <f>IF(Q6=0,0,(C6*(((E6*(((Q6*D6)/1000))^F6)/D6))/Q6))</f>
        <v>2.0674110572076945</v>
      </c>
      <c r="M27" s="480">
        <f t="shared" si="13"/>
        <v>35.590737483257413</v>
      </c>
      <c r="N27" s="5"/>
      <c r="O27" s="5"/>
      <c r="P27" s="8">
        <v>2</v>
      </c>
      <c r="Q27" s="481">
        <f>Q29+Q36+Q38+Q39</f>
        <v>387.75819148147957</v>
      </c>
      <c r="R27" s="482" t="s">
        <v>8</v>
      </c>
      <c r="S27" s="5"/>
      <c r="T27" s="482" t="s">
        <v>8</v>
      </c>
      <c r="U27" s="5"/>
      <c r="V27" s="31">
        <f>IF(((Q6-Q6)/Q6)=0,0,((Q6-Q6)/Q6))</f>
        <v>0</v>
      </c>
      <c r="W27" s="5"/>
      <c r="X27" s="5"/>
      <c r="Y27" s="5"/>
      <c r="Z27" s="5"/>
      <c r="AA27" s="5"/>
      <c r="AB27" s="5"/>
      <c r="AC27" s="5"/>
      <c r="AD27" s="5"/>
      <c r="AE27" s="5"/>
      <c r="AF27" s="5"/>
      <c r="AG27" s="5"/>
      <c r="AH27" s="5"/>
      <c r="AI27" s="5"/>
      <c r="AJ27" s="5"/>
      <c r="AK27" s="5"/>
    </row>
    <row r="28" spans="2:37" s="3" customFormat="1" ht="20">
      <c r="B28" s="198" t="s">
        <v>67</v>
      </c>
      <c r="C28" s="8" t="s">
        <v>33</v>
      </c>
      <c r="D28" s="447">
        <v>4</v>
      </c>
      <c r="E28" s="502"/>
      <c r="F28" s="503"/>
      <c r="G28" s="5"/>
      <c r="H28" s="503"/>
      <c r="I28" s="5"/>
      <c r="J28" s="5"/>
      <c r="K28" s="5"/>
      <c r="L28" s="480">
        <f t="shared" ref="L28:L35" si="14">IF(Q28=0,0,(C7*(((E7*(((Q28*D7)/1000))^F7)/D7))/Q28))</f>
        <v>5.9550066125879777</v>
      </c>
      <c r="M28" s="480">
        <f t="shared" si="13"/>
        <v>20.410434782608693</v>
      </c>
      <c r="N28" s="490">
        <f t="shared" ref="N28:N35" si="15">(I7*J7*(K7/100))/8.25</f>
        <v>16.003636363636364</v>
      </c>
      <c r="O28" s="485">
        <f>(FieldApplications!O6*SUM('Farm and Rotation Setup'!AH$14:AH$18))+(FieldApplications!N6*SUM('Farm and Rotation Setup'!AG$14:AG$18))+(FieldApplications!C6*SUM('Farm and Rotation Setup'!V$14:V$18))+(FieldApplications!D6*SUM('Farm and Rotation Setup'!W$14:W$18))+(FieldApplications!V6*SUM('Farm and Rotation Setup'!AO$14:AO$18))+(FieldApplications!E6*SUM('Farm and Rotation Setup'!X$14:X$18))+(FieldApplications!G6*SUM('Farm and Rotation Setup'!Z$14:Z$18))+(FieldApplications!W6*SUM('Farm and Rotation Setup'!AP$14:AP$18))+(FieldApplications!R6*SUM('Farm and Rotation Setup'!AK$14:AK$18))+(FieldApplications!P6*SUM('Farm and Rotation Setup'!AI$14:AI$18))+(FieldApplications!Q6*SUM('Farm and Rotation Setup'!AJ$14:AJ$18))+(FieldApplications!H6*SUM('Farm and Rotation Setup'!AA$14:AA$18))+(FieldApplications!X6*SUM('Farm and Rotation Setup'!AQ$14:AQ$18))+(FieldApplications!J6*SUM('Farm and Rotation Setup'!AC$14:AC$18))+(FieldApplications!I6*SUM('Farm and Rotation Setup'!AB$14:AB$18))+(FieldApplications!U6*SUM('Farm and Rotation Setup'!AN$14:AN$18))+(FieldApplications!T6*SUM('Farm and Rotation Setup'!AM$14:AM$18))+(FieldApplications!S6*SUM('Farm and Rotation Setup'!AL$14:AL$18))+(FieldApplications!Y6*SUM('Farm and Rotation Setup'!AR$14:AR$18))+(FieldApplications!F6*SUM('Farm and Rotation Setup'!Y$14:Y$18))+(FieldApplications!Z6*SUM('Farm and Rotation Setup'!AS$14:AS$18))+(FieldApplications!K6*SUM('Farm and Rotation Setup'!AD$14:AD$18))+(FieldApplications!L6*SUM('Farm and Rotation Setup'!AE$14:AE$18))+(FieldApplications!M6*SUM('Farm and Rotation Setup'!AF$14:AF$18))</f>
        <v>0</v>
      </c>
      <c r="P28" s="8">
        <v>1</v>
      </c>
      <c r="Q28" s="481">
        <f t="shared" ref="Q28:S29" si="16">Q7</f>
        <v>115</v>
      </c>
      <c r="R28" s="480">
        <f t="shared" si="16"/>
        <v>1.4996591683708247</v>
      </c>
      <c r="S28" s="480">
        <f t="shared" si="16"/>
        <v>5.7486934787548281</v>
      </c>
      <c r="T28" s="480">
        <f>IF(Q28=0,0,((L28+$L$26)/N28))</f>
        <v>0.46726721181997538</v>
      </c>
      <c r="U28" s="480">
        <f>IF(Q28=0,0,((M28+$M$26)/N28))</f>
        <v>4.3329737628911431</v>
      </c>
      <c r="V28" s="31">
        <f t="shared" ref="V28:V35" si="17">IF(Q28=0,0,((Q28-Q7)/Q28))</f>
        <v>0</v>
      </c>
      <c r="W28" s="5"/>
      <c r="X28" s="5"/>
      <c r="Y28" s="5"/>
      <c r="Z28" s="5"/>
      <c r="AA28" s="5"/>
      <c r="AB28" s="5"/>
      <c r="AC28" s="5"/>
      <c r="AD28" s="5"/>
      <c r="AE28" s="5"/>
      <c r="AF28" s="5"/>
      <c r="AG28" s="5"/>
      <c r="AH28" s="5"/>
      <c r="AI28" s="5"/>
      <c r="AJ28" s="5"/>
      <c r="AK28" s="5"/>
    </row>
    <row r="29" spans="2:37" s="3" customFormat="1" ht="20">
      <c r="B29" s="198" t="s">
        <v>5</v>
      </c>
      <c r="C29" s="8" t="s">
        <v>33</v>
      </c>
      <c r="D29" s="448">
        <v>4</v>
      </c>
      <c r="E29" s="502">
        <v>120000</v>
      </c>
      <c r="F29" s="503">
        <v>10</v>
      </c>
      <c r="G29" s="5"/>
      <c r="H29" s="503">
        <v>1.8</v>
      </c>
      <c r="I29" s="5"/>
      <c r="J29" s="5"/>
      <c r="K29" s="5"/>
      <c r="L29" s="480">
        <f t="shared" si="14"/>
        <v>3.396299797229875</v>
      </c>
      <c r="M29" s="480">
        <f t="shared" si="13"/>
        <v>8.3455999999999992</v>
      </c>
      <c r="N29" s="490">
        <f t="shared" si="15"/>
        <v>37.029090909090911</v>
      </c>
      <c r="O29" s="485">
        <f>(FieldApplications!O7*SUM('Farm and Rotation Setup'!AH$14:AH$18))+(FieldApplications!N7*SUM('Farm and Rotation Setup'!AG$14:AG$18))+(FieldApplications!C7*SUM('Farm and Rotation Setup'!V$14:V$18))+(FieldApplications!D7*SUM('Farm and Rotation Setup'!W$14:W$18))+(FieldApplications!V7*SUM('Farm and Rotation Setup'!AO$14:AO$18))+(FieldApplications!E7*SUM('Farm and Rotation Setup'!X$14:X$18))+(FieldApplications!G7*SUM('Farm and Rotation Setup'!Z$14:Z$18))+(FieldApplications!W7*SUM('Farm and Rotation Setup'!AP$14:AP$18))+(FieldApplications!R7*SUM('Farm and Rotation Setup'!AK$14:AK$18))+(FieldApplications!P7*SUM('Farm and Rotation Setup'!AI$14:AI$18))+(FieldApplications!Q7*SUM('Farm and Rotation Setup'!AJ$14:AJ$18))+(FieldApplications!H7*SUM('Farm and Rotation Setup'!AA$14:AA$18))+(FieldApplications!X7*SUM('Farm and Rotation Setup'!AQ$14:AQ$18))+(FieldApplications!J7*SUM('Farm and Rotation Setup'!AC$14:AC$18))+(FieldApplications!I7*SUM('Farm and Rotation Setup'!AB$14:AB$18))+(FieldApplications!U7*SUM('Farm and Rotation Setup'!AN$14:AN$18))+(FieldApplications!T7*SUM('Farm and Rotation Setup'!AM$14:AM$18))+(FieldApplications!S7*SUM('Farm and Rotation Setup'!AL$14:AL$18))+(FieldApplications!Y7*SUM('Farm and Rotation Setup'!AR$14:AR$18))+(FieldApplications!F7*SUM('Farm and Rotation Setup'!Y$14:Y$18))+(FieldApplications!Z7*SUM('Farm and Rotation Setup'!AS$14:AS$18))+(FieldApplications!K7*SUM('Farm and Rotation Setup'!AD$14:AD$18))+(FieldApplications!L7*SUM('Farm and Rotation Setup'!AE$14:AE$18))+(FieldApplications!M7*SUM('Farm and Rotation Setup'!AF$14:AF$18))</f>
        <v>0</v>
      </c>
      <c r="P29" s="8">
        <v>2</v>
      </c>
      <c r="Q29" s="481">
        <f t="shared" si="16"/>
        <v>75</v>
      </c>
      <c r="R29" s="480">
        <f t="shared" si="16"/>
        <v>0.59412746734753996</v>
      </c>
      <c r="S29" s="480">
        <f t="shared" si="16"/>
        <v>2.4845330452715308</v>
      </c>
      <c r="T29" s="480">
        <f>IF(Q29=0,0,((L29+$L$6)/N29))</f>
        <v>0.14755184964846621</v>
      </c>
      <c r="U29" s="480">
        <f>IF(Q29=0,0,((M29+$M$6)/N29))</f>
        <v>1.1988479209967022</v>
      </c>
      <c r="V29" s="31">
        <f t="shared" si="17"/>
        <v>0</v>
      </c>
      <c r="W29" s="5"/>
      <c r="X29" s="5"/>
      <c r="Y29" s="5"/>
      <c r="Z29" s="5"/>
      <c r="AA29" s="5"/>
      <c r="AB29" s="5"/>
      <c r="AC29" s="5"/>
      <c r="AD29" s="5"/>
      <c r="AE29" s="5"/>
      <c r="AF29" s="5"/>
      <c r="AG29" s="5"/>
      <c r="AH29" s="5"/>
      <c r="AI29" s="5"/>
      <c r="AJ29" s="5"/>
      <c r="AK29" s="5"/>
    </row>
    <row r="30" spans="2:37" s="3" customFormat="1" ht="20">
      <c r="B30" s="409" t="s">
        <v>34</v>
      </c>
      <c r="C30" s="449" t="s">
        <v>17</v>
      </c>
      <c r="D30" s="450">
        <v>20</v>
      </c>
      <c r="E30" s="502">
        <v>75000</v>
      </c>
      <c r="F30" s="503">
        <v>7</v>
      </c>
      <c r="G30" s="5"/>
      <c r="H30" s="503">
        <v>2</v>
      </c>
      <c r="I30" s="5"/>
      <c r="J30" s="5"/>
      <c r="K30" s="5"/>
      <c r="L30" s="480">
        <f t="shared" si="14"/>
        <v>0</v>
      </c>
      <c r="M30" s="480">
        <f t="shared" si="13"/>
        <v>0</v>
      </c>
      <c r="N30" s="490">
        <f t="shared" si="15"/>
        <v>21.636363636363637</v>
      </c>
      <c r="O30" s="485">
        <f>(FieldApplications!O8*SUM('Farm and Rotation Setup'!AH$14:AH$18))+(FieldApplications!N8*SUM('Farm and Rotation Setup'!AG$14:AG$18))+(FieldApplications!C8*SUM('Farm and Rotation Setup'!V$14:V$18))+(FieldApplications!D8*SUM('Farm and Rotation Setup'!W$14:W$18))+(FieldApplications!V8*SUM('Farm and Rotation Setup'!AO$14:AO$18))+(FieldApplications!E8*SUM('Farm and Rotation Setup'!X$14:X$18))+(FieldApplications!G8*SUM('Farm and Rotation Setup'!Z$14:Z$18))+(FieldApplications!W8*SUM('Farm and Rotation Setup'!AP$14:AP$18))+(FieldApplications!R8*SUM('Farm and Rotation Setup'!AK$14:AK$18))+(FieldApplications!P8*SUM('Farm and Rotation Setup'!AI$14:AI$18))+(FieldApplications!Q8*SUM('Farm and Rotation Setup'!AJ$14:AJ$18))+(FieldApplications!H8*SUM('Farm and Rotation Setup'!AA$14:AA$18))+(FieldApplications!X8*SUM('Farm and Rotation Setup'!AQ$14:AQ$18))+(FieldApplications!J8*SUM('Farm and Rotation Setup'!AC$14:AC$18))+(FieldApplications!I8*SUM('Farm and Rotation Setup'!AB$14:AB$18))+(FieldApplications!U8*SUM('Farm and Rotation Setup'!AN$14:AN$18))+(FieldApplications!T8*SUM('Farm and Rotation Setup'!AM$14:AM$18))+(FieldApplications!S8*SUM('Farm and Rotation Setup'!AL$14:AL$18))+(FieldApplications!Y8*SUM('Farm and Rotation Setup'!AR$14:AR$18))+(FieldApplications!F8*SUM('Farm and Rotation Setup'!Y$14:Y$18))+(FieldApplications!Z8*SUM('Farm and Rotation Setup'!AS$14:AS$18))+(FieldApplications!K8*SUM('Farm and Rotation Setup'!AD$14:AD$18))+(FieldApplications!L8*SUM('Farm and Rotation Setup'!AE$14:AE$18))+(FieldApplications!M8*SUM('Farm and Rotation Setup'!AF$14:AF$18))</f>
        <v>0</v>
      </c>
      <c r="P30" s="8">
        <v>1</v>
      </c>
      <c r="Q30" s="481">
        <f t="shared" ref="Q30:Q38" si="18">O30/N30</f>
        <v>0</v>
      </c>
      <c r="R30" s="480">
        <f t="shared" ref="R30:S35" si="19">R9</f>
        <v>0</v>
      </c>
      <c r="S30" s="480">
        <f t="shared" si="19"/>
        <v>0</v>
      </c>
      <c r="T30" s="480">
        <f t="shared" ref="T30:T34" si="20">IF(Q30=0,0,((L30+$L$26)/N30))</f>
        <v>0</v>
      </c>
      <c r="U30" s="480">
        <f t="shared" ref="U30:U34" si="21">IF(Q30=0,0,((M30+$M$26)/N30))</f>
        <v>0</v>
      </c>
      <c r="V30" s="31">
        <f t="shared" si="17"/>
        <v>0</v>
      </c>
      <c r="W30" s="5"/>
      <c r="X30" s="5"/>
      <c r="Y30" s="5"/>
      <c r="Z30" s="5"/>
      <c r="AA30" s="5"/>
      <c r="AB30" s="5"/>
      <c r="AC30" s="5"/>
      <c r="AD30" s="5"/>
      <c r="AE30" s="5"/>
      <c r="AF30" s="5"/>
      <c r="AG30" s="5"/>
      <c r="AH30" s="5"/>
      <c r="AI30" s="5"/>
      <c r="AJ30" s="5"/>
      <c r="AK30" s="5"/>
    </row>
    <row r="31" spans="2:37" s="3" customFormat="1" ht="21">
      <c r="D31" s="451" t="s">
        <v>15</v>
      </c>
      <c r="E31" s="452">
        <v>120000</v>
      </c>
      <c r="F31" s="453">
        <v>5</v>
      </c>
      <c r="H31" s="453">
        <v>1.8</v>
      </c>
      <c r="L31" s="440">
        <f t="shared" si="14"/>
        <v>0</v>
      </c>
      <c r="M31" s="440">
        <f t="shared" si="13"/>
        <v>0</v>
      </c>
      <c r="N31" s="443">
        <f t="shared" si="15"/>
        <v>8.7575757575757578</v>
      </c>
      <c r="O31" s="444">
        <f>(FieldApplications!O9*SUM('Farm and Rotation Setup'!AH$14:AH$18))+(FieldApplications!N9*SUM('Farm and Rotation Setup'!AG$14:AG$18))+(FieldApplications!C9*SUM('Farm and Rotation Setup'!V$14:V$18))+(FieldApplications!D9*SUM('Farm and Rotation Setup'!W$14:W$18))+(FieldApplications!V9*SUM('Farm and Rotation Setup'!AO$14:AO$18))+(FieldApplications!E9*SUM('Farm and Rotation Setup'!X$14:X$18))+(FieldApplications!G9*SUM('Farm and Rotation Setup'!Z$14:Z$18))+(FieldApplications!W9*SUM('Farm and Rotation Setup'!AP$14:AP$18))+(FieldApplications!R9*SUM('Farm and Rotation Setup'!AK$14:AK$18))+(FieldApplications!P9*SUM('Farm and Rotation Setup'!AI$14:AI$18))+(FieldApplications!Q9*SUM('Farm and Rotation Setup'!AJ$14:AJ$18))+(FieldApplications!H9*SUM('Farm and Rotation Setup'!AA$14:AA$18))+(FieldApplications!X9*SUM('Farm and Rotation Setup'!AQ$14:AQ$18))+(FieldApplications!J9*SUM('Farm and Rotation Setup'!AC$14:AC$18))+(FieldApplications!I9*SUM('Farm and Rotation Setup'!AB$14:AB$18))+(FieldApplications!U9*SUM('Farm and Rotation Setup'!AN$14:AN$18))+(FieldApplications!T9*SUM('Farm and Rotation Setup'!AM$14:AM$18))+(FieldApplications!S9*SUM('Farm and Rotation Setup'!AL$14:AL$18))+(FieldApplications!Y9*SUM('Farm and Rotation Setup'!AR$14:AR$18))+(FieldApplications!F9*SUM('Farm and Rotation Setup'!Y$14:Y$18))+(FieldApplications!Z9*SUM('Farm and Rotation Setup'!AS$14:AS$18))+(FieldApplications!K9*SUM('Farm and Rotation Setup'!AD$14:AD$18))+(FieldApplications!L9*SUM('Farm and Rotation Setup'!AE$14:AE$18))+(FieldApplications!M9*SUM('Farm and Rotation Setup'!AF$14:AF$18))</f>
        <v>0</v>
      </c>
      <c r="P31" s="433">
        <v>1</v>
      </c>
      <c r="Q31" s="441">
        <f t="shared" si="18"/>
        <v>0</v>
      </c>
      <c r="R31" s="440">
        <f t="shared" si="19"/>
        <v>0</v>
      </c>
      <c r="S31" s="440">
        <f t="shared" si="19"/>
        <v>0</v>
      </c>
      <c r="T31" s="440">
        <f t="shared" si="20"/>
        <v>0</v>
      </c>
      <c r="U31" s="440">
        <f t="shared" si="21"/>
        <v>0</v>
      </c>
      <c r="V31" s="446">
        <f t="shared" si="17"/>
        <v>0</v>
      </c>
    </row>
    <row r="32" spans="2:37" s="3" customFormat="1" ht="22" customHeight="1">
      <c r="D32" s="451" t="s">
        <v>16</v>
      </c>
      <c r="E32" s="452">
        <v>8500</v>
      </c>
      <c r="F32" s="453">
        <v>10</v>
      </c>
      <c r="H32" s="453">
        <v>1.6</v>
      </c>
      <c r="L32" s="440">
        <f t="shared" si="14"/>
        <v>0</v>
      </c>
      <c r="M32" s="440">
        <f t="shared" si="13"/>
        <v>0</v>
      </c>
      <c r="N32" s="443">
        <f t="shared" si="15"/>
        <v>18.545454545454547</v>
      </c>
      <c r="O32" s="444">
        <f>(FieldApplications!O10*SUM('Farm and Rotation Setup'!AH$14:AH$18))+(FieldApplications!N10*SUM('Farm and Rotation Setup'!AG$14:AG$18))+(FieldApplications!C10*SUM('Farm and Rotation Setup'!V$14:V$18))+(FieldApplications!D10*SUM('Farm and Rotation Setup'!W$14:W$18))+(FieldApplications!V10*SUM('Farm and Rotation Setup'!AO$14:AO$18))+(FieldApplications!E10*SUM('Farm and Rotation Setup'!X$14:X$18))+(FieldApplications!G10*SUM('Farm and Rotation Setup'!Z$14:Z$18))+(FieldApplications!W10*SUM('Farm and Rotation Setup'!AP$14:AP$18))+(FieldApplications!R10*SUM('Farm and Rotation Setup'!AK$14:AK$18))+(FieldApplications!P10*SUM('Farm and Rotation Setup'!AI$14:AI$18))+(FieldApplications!Q10*SUM('Farm and Rotation Setup'!AJ$14:AJ$18))+(FieldApplications!H10*SUM('Farm and Rotation Setup'!AA$14:AA$18))+(FieldApplications!X10*SUM('Farm and Rotation Setup'!AQ$14:AQ$18))+(FieldApplications!J10*SUM('Farm and Rotation Setup'!AC$14:AC$18))+(FieldApplications!I10*SUM('Farm and Rotation Setup'!AB$14:AB$18))+(FieldApplications!U10*SUM('Farm and Rotation Setup'!AN$14:AN$18))+(FieldApplications!T10*SUM('Farm and Rotation Setup'!AM$14:AM$18))+(FieldApplications!S10*SUM('Farm and Rotation Setup'!AL$14:AL$18))+(FieldApplications!Y10*SUM('Farm and Rotation Setup'!AR$14:AR$18))+(FieldApplications!F10*SUM('Farm and Rotation Setup'!Y$14:Y$18))+(FieldApplications!Z10*SUM('Farm and Rotation Setup'!AS$14:AS$18))+(FieldApplications!K10*SUM('Farm and Rotation Setup'!AD$14:AD$18))+(FieldApplications!L10*SUM('Farm and Rotation Setup'!AE$14:AE$18))+(FieldApplications!M10*SUM('Farm and Rotation Setup'!AF$14:AF$18))</f>
        <v>0</v>
      </c>
      <c r="P32" s="433">
        <v>1</v>
      </c>
      <c r="Q32" s="441">
        <f t="shared" si="18"/>
        <v>0</v>
      </c>
      <c r="R32" s="440">
        <f t="shared" si="19"/>
        <v>0</v>
      </c>
      <c r="S32" s="440">
        <f t="shared" si="19"/>
        <v>0</v>
      </c>
      <c r="T32" s="440">
        <f t="shared" si="20"/>
        <v>0</v>
      </c>
      <c r="U32" s="440">
        <f t="shared" si="21"/>
        <v>0</v>
      </c>
      <c r="V32" s="446">
        <f t="shared" si="17"/>
        <v>0</v>
      </c>
    </row>
    <row r="33" spans="4:22" s="3" customFormat="1" ht="21">
      <c r="D33" s="451" t="s">
        <v>18</v>
      </c>
      <c r="E33" s="452">
        <v>18000</v>
      </c>
      <c r="F33" s="453">
        <v>20</v>
      </c>
      <c r="H33" s="453">
        <v>1.3</v>
      </c>
      <c r="L33" s="440">
        <f t="shared" si="14"/>
        <v>0</v>
      </c>
      <c r="M33" s="440">
        <f t="shared" si="13"/>
        <v>0</v>
      </c>
      <c r="N33" s="443">
        <f t="shared" si="15"/>
        <v>18.545454545454547</v>
      </c>
      <c r="O33" s="444">
        <f>(FieldApplications!O11*SUM('Farm and Rotation Setup'!AH$14:AH$18))+(FieldApplications!N11*SUM('Farm and Rotation Setup'!AG$14:AG$18))+(FieldApplications!C11*SUM('Farm and Rotation Setup'!V$14:V$18))+(FieldApplications!D11*SUM('Farm and Rotation Setup'!W$14:W$18))+(FieldApplications!V11*SUM('Farm and Rotation Setup'!AO$14:AO$18))+(FieldApplications!E11*SUM('Farm and Rotation Setup'!X$14:X$18))+(FieldApplications!G11*SUM('Farm and Rotation Setup'!Z$14:Z$18))+(FieldApplications!W11*SUM('Farm and Rotation Setup'!AP$14:AP$18))+(FieldApplications!R11*SUM('Farm and Rotation Setup'!AK$14:AK$18))+(FieldApplications!P11*SUM('Farm and Rotation Setup'!AI$14:AI$18))+(FieldApplications!Q11*SUM('Farm and Rotation Setup'!AJ$14:AJ$18))+(FieldApplications!H11*SUM('Farm and Rotation Setup'!AA$14:AA$18))+(FieldApplications!X11*SUM('Farm and Rotation Setup'!AQ$14:AQ$18))+(FieldApplications!J11*SUM('Farm and Rotation Setup'!AC$14:AC$18))+(FieldApplications!I11*SUM('Farm and Rotation Setup'!AB$14:AB$18))+(FieldApplications!U11*SUM('Farm and Rotation Setup'!AN$14:AN$18))+(FieldApplications!T11*SUM('Farm and Rotation Setup'!AM$14:AM$18))+(FieldApplications!S11*SUM('Farm and Rotation Setup'!AL$14:AL$18))+(FieldApplications!Y11*SUM('Farm and Rotation Setup'!AR$14:AR$18))+(FieldApplications!F11*SUM('Farm and Rotation Setup'!Y$14:Y$18))+(FieldApplications!Z11*SUM('Farm and Rotation Setup'!AS$14:AS$18))+(FieldApplications!K11*SUM('Farm and Rotation Setup'!AD$14:AD$18))+(FieldApplications!L11*SUM('Farm and Rotation Setup'!AE$14:AE$18))+(FieldApplications!M11*SUM('Farm and Rotation Setup'!AF$14:AF$18))</f>
        <v>0</v>
      </c>
      <c r="P33" s="433">
        <v>1</v>
      </c>
      <c r="Q33" s="441">
        <f t="shared" si="18"/>
        <v>0</v>
      </c>
      <c r="R33" s="440">
        <f t="shared" si="19"/>
        <v>0</v>
      </c>
      <c r="S33" s="440">
        <f t="shared" si="19"/>
        <v>0</v>
      </c>
      <c r="T33" s="440">
        <f t="shared" si="20"/>
        <v>0</v>
      </c>
      <c r="U33" s="440">
        <f t="shared" si="21"/>
        <v>0</v>
      </c>
      <c r="V33" s="446">
        <f t="shared" si="17"/>
        <v>0</v>
      </c>
    </row>
    <row r="34" spans="4:22" ht="22" customHeight="1">
      <c r="D34" s="91" t="s">
        <v>19</v>
      </c>
      <c r="E34" s="65">
        <v>25000</v>
      </c>
      <c r="F34" s="92">
        <v>20</v>
      </c>
      <c r="H34" s="92">
        <v>1.3</v>
      </c>
      <c r="L34" s="210">
        <f t="shared" si="14"/>
        <v>84.39530896272025</v>
      </c>
      <c r="M34" s="79">
        <f t="shared" si="13"/>
        <v>59.458987636363638</v>
      </c>
      <c r="N34" s="84">
        <f t="shared" si="15"/>
        <v>14.967272727272727</v>
      </c>
      <c r="O34" s="175">
        <f>(FieldApplications!O12*SUM('Farm and Rotation Setup'!AH$14:AH$18))+(FieldApplications!N12*SUM('Farm and Rotation Setup'!AG$14:AG$18))+(FieldApplications!C12*SUM('Farm and Rotation Setup'!V$14:V$18))+(FieldApplications!D12*SUM('Farm and Rotation Setup'!W$14:W$18))+(FieldApplications!V12*SUM('Farm and Rotation Setup'!AO$14:AO$18))+(FieldApplications!E12*SUM('Farm and Rotation Setup'!X$14:X$18))+(FieldApplications!G12*SUM('Farm and Rotation Setup'!Z$14:Z$18))+(FieldApplications!W12*SUM('Farm and Rotation Setup'!AP$14:AP$18))+(FieldApplications!R12*SUM('Farm and Rotation Setup'!AK$14:AK$18))+(FieldApplications!P12*SUM('Farm and Rotation Setup'!AI$14:AI$18))+(FieldApplications!Q12*SUM('Farm and Rotation Setup'!AJ$14:AJ$18))+(FieldApplications!H12*SUM('Farm and Rotation Setup'!AA$14:AA$18))+(FieldApplications!X12*SUM('Farm and Rotation Setup'!AQ$14:AQ$18))+(FieldApplications!J12*SUM('Farm and Rotation Setup'!AC$14:AC$18))+(FieldApplications!I12*SUM('Farm and Rotation Setup'!AB$14:AB$18))+(FieldApplications!U12*SUM('Farm and Rotation Setup'!AN$14:AN$18))+(FieldApplications!T12*SUM('Farm and Rotation Setup'!AM$14:AM$18))+(FieldApplications!S12*SUM('Farm and Rotation Setup'!AL$14:AL$18))+(FieldApplications!Y12*SUM('Farm and Rotation Setup'!AR$14:AR$18))+(FieldApplications!F12*SUM('Farm and Rotation Setup'!Y$14:Y$18))+(FieldApplications!Z12*SUM('Farm and Rotation Setup'!AS$14:AS$18))+(FieldApplications!K12*SUM('Farm and Rotation Setup'!AD$14:AD$18))+(FieldApplications!L12*SUM('Farm and Rotation Setup'!AE$14:AE$18))+(FieldApplications!M12*SUM('Farm and Rotation Setup'!AF$14:AF$18))</f>
        <v>2500</v>
      </c>
      <c r="P34" s="80">
        <v>1</v>
      </c>
      <c r="Q34" s="94">
        <f t="shared" si="18"/>
        <v>167.03109815354713</v>
      </c>
      <c r="R34" s="79">
        <f t="shared" si="19"/>
        <v>1.6703109815354713</v>
      </c>
      <c r="S34" s="79">
        <f t="shared" si="19"/>
        <v>6.146744412050535</v>
      </c>
      <c r="T34" s="79">
        <f t="shared" si="20"/>
        <v>5.740409656342587</v>
      </c>
      <c r="U34" s="79">
        <f t="shared" si="21"/>
        <v>7.2419265221735989</v>
      </c>
      <c r="V34" s="340">
        <f t="shared" si="17"/>
        <v>0</v>
      </c>
    </row>
    <row r="35" spans="4:22" ht="20" customHeight="1">
      <c r="D35" s="91" t="s">
        <v>20</v>
      </c>
      <c r="E35" s="65">
        <v>9500</v>
      </c>
      <c r="F35" s="92">
        <v>20</v>
      </c>
      <c r="H35" s="92">
        <v>1.3</v>
      </c>
      <c r="L35" s="210">
        <f t="shared" si="14"/>
        <v>83.839532764862781</v>
      </c>
      <c r="M35" s="79">
        <f t="shared" si="13"/>
        <v>126.60029672727272</v>
      </c>
      <c r="N35" s="84">
        <f t="shared" si="15"/>
        <v>13.047272727272727</v>
      </c>
      <c r="O35" s="175">
        <f>(FieldApplications!O13*SUM('Farm and Rotation Setup'!AH$14:AH$18))+(FieldApplications!N13*SUM('Farm and Rotation Setup'!AG$14:AG$18))+(FieldApplications!C13*SUM('Farm and Rotation Setup'!V$14:V$18))+(FieldApplications!D13*SUM('Farm and Rotation Setup'!W$14:W$18))+(FieldApplications!V13*SUM('Farm and Rotation Setup'!AO$14:AO$18))+(FieldApplications!E13*SUM('Farm and Rotation Setup'!X$14:X$18))+(FieldApplications!G13*SUM('Farm and Rotation Setup'!Z$14:Z$18))+(FieldApplications!W13*SUM('Farm and Rotation Setup'!AP$14:AP$18))+(FieldApplications!R13*SUM('Farm and Rotation Setup'!AK$14:AK$18))+(FieldApplications!P13*SUM('Farm and Rotation Setup'!AI$14:AI$18))+(FieldApplications!Q13*SUM('Farm and Rotation Setup'!AJ$14:AJ$18))+(FieldApplications!H13*SUM('Farm and Rotation Setup'!AA$14:AA$18))+(FieldApplications!X13*SUM('Farm and Rotation Setup'!AQ$14:AQ$18))+(FieldApplications!J13*SUM('Farm and Rotation Setup'!AC$14:AC$18))+(FieldApplications!I13*SUM('Farm and Rotation Setup'!AB$14:AB$18))+(FieldApplications!U13*SUM('Farm and Rotation Setup'!AN$14:AN$18))+(FieldApplications!T13*SUM('Farm and Rotation Setup'!AM$14:AM$18))+(FieldApplications!S13*SUM('Farm and Rotation Setup'!AL$14:AL$18))+(FieldApplications!Y13*SUM('Farm and Rotation Setup'!AR$14:AR$18))+(FieldApplications!F13*SUM('Farm and Rotation Setup'!Y$14:Y$18))+(FieldApplications!Z13*SUM('Farm and Rotation Setup'!AS$14:AS$18))+(FieldApplications!K13*SUM('Farm and Rotation Setup'!AD$14:AD$18))+(FieldApplications!L13*SUM('Farm and Rotation Setup'!AE$14:AE$18))+(FieldApplications!M13*SUM('Farm and Rotation Setup'!AF$14:AF$18))</f>
        <v>2500</v>
      </c>
      <c r="P35" s="80" t="s">
        <v>97</v>
      </c>
      <c r="Q35" s="94">
        <f t="shared" si="18"/>
        <v>191.61092530657749</v>
      </c>
      <c r="R35" s="79">
        <f t="shared" si="19"/>
        <v>1.9161092530657748</v>
      </c>
      <c r="S35" s="79">
        <f t="shared" si="19"/>
        <v>7.0512820512820511</v>
      </c>
      <c r="T35" s="79">
        <f>IF(Q35=0,0,((L35)/N35))</f>
        <v>6.4258281801385913</v>
      </c>
      <c r="U35" s="79">
        <f>IF(Q35=0,0,((M35)/N35))</f>
        <v>9.7031999999999989</v>
      </c>
      <c r="V35" s="340">
        <f t="shared" si="17"/>
        <v>0</v>
      </c>
    </row>
    <row r="36" spans="4:22" ht="21">
      <c r="D36" s="91" t="s">
        <v>21</v>
      </c>
      <c r="E36" s="65">
        <v>6500</v>
      </c>
      <c r="F36" s="92">
        <v>20</v>
      </c>
      <c r="H36" s="92">
        <v>1.3</v>
      </c>
      <c r="L36" s="210">
        <f>IF(Q36=0,0,(C16*(((E16*(((Q36*D16)/1000))^F16)/D16))/Q36))</f>
        <v>0</v>
      </c>
      <c r="M36" s="79">
        <f>IF(Q36=0,0,((C16-(C16*(G16)))/D16)/Q36)*(1+V36)</f>
        <v>0</v>
      </c>
      <c r="N36" s="84">
        <f>(I16*J16*(K16/100))/8.25</f>
        <v>20.363636363636363</v>
      </c>
      <c r="O36" s="175">
        <f>(FieldApplications!O14*SUM('Farm and Rotation Setup'!AH$14:AH$18))+(FieldApplications!N14*SUM('Farm and Rotation Setup'!AG$14:AG$18))+(FieldApplications!C14*SUM('Farm and Rotation Setup'!V$14:V$18))+(FieldApplications!D14*SUM('Farm and Rotation Setup'!W$14:W$18))+(FieldApplications!V14*SUM('Farm and Rotation Setup'!AO$14:AO$18))+(FieldApplications!E14*SUM('Farm and Rotation Setup'!X$14:X$18))+(FieldApplications!G14*SUM('Farm and Rotation Setup'!Z$14:Z$18))+(FieldApplications!W14*SUM('Farm and Rotation Setup'!AP$14:AP$18))+(FieldApplications!R14*SUM('Farm and Rotation Setup'!AK$14:AK$18))+(FieldApplications!P14*SUM('Farm and Rotation Setup'!AI$14:AI$18))+(FieldApplications!Q14*SUM('Farm and Rotation Setup'!AJ$14:AJ$18))+(FieldApplications!H14*SUM('Farm and Rotation Setup'!AA$14:AA$18))+(FieldApplications!X14*SUM('Farm and Rotation Setup'!AQ$14:AQ$18))+(FieldApplications!J14*SUM('Farm and Rotation Setup'!AC$14:AC$18))+(FieldApplications!I14*SUM('Farm and Rotation Setup'!AB$14:AB$18))+(FieldApplications!U14*SUM('Farm and Rotation Setup'!AN$14:AN$18))+(FieldApplications!T14*SUM('Farm and Rotation Setup'!AM$14:AM$18))+(FieldApplications!S14*SUM('Farm and Rotation Setup'!AL$14:AL$18))+(FieldApplications!Y14*SUM('Farm and Rotation Setup'!AR$14:AR$18))+(FieldApplications!F14*SUM('Farm and Rotation Setup'!Y$14:Y$18))+(FieldApplications!Z14*SUM('Farm and Rotation Setup'!AS$14:AS$18))+(FieldApplications!K14*SUM('Farm and Rotation Setup'!AD$14:AD$18))+(FieldApplications!L14*SUM('Farm and Rotation Setup'!AE$14:AE$18))+(FieldApplications!M14*SUM('Farm and Rotation Setup'!AF$14:AF$18))</f>
        <v>0</v>
      </c>
      <c r="P36" s="80">
        <v>2</v>
      </c>
      <c r="Q36" s="94">
        <f t="shared" si="18"/>
        <v>0</v>
      </c>
      <c r="R36" s="79">
        <f t="shared" ref="R36:S38" si="22">R16</f>
        <v>0</v>
      </c>
      <c r="S36" s="79">
        <f t="shared" si="22"/>
        <v>0</v>
      </c>
      <c r="T36" s="79">
        <f>IF(Q36=0,0,((L36+$L$6)/N36))</f>
        <v>0</v>
      </c>
      <c r="U36" s="79">
        <f>IF(Q36=0,0,((M36+$M$6)/N36))</f>
        <v>0</v>
      </c>
      <c r="V36" s="340">
        <f>IF(Q36=0,0,((Q36-Q16)/Q36))</f>
        <v>0</v>
      </c>
    </row>
    <row r="37" spans="4:22" ht="21" customHeight="1">
      <c r="L37" s="210">
        <f>IF(Q37=0,0,(C17*(((E17*(((Q37*D17)/1000))^F17)/D17))/Q37))</f>
        <v>20.055259695517741</v>
      </c>
      <c r="M37" s="79">
        <f>IF(Q37=0,0,((C17-(C17*(G17)))/D17)/Q37)*(1+V37)</f>
        <v>4.3359119999999987</v>
      </c>
      <c r="N37" s="84">
        <f>(I17*J17*(K17/100))/8.25</f>
        <v>9.7999999999999989</v>
      </c>
      <c r="O37" s="175">
        <f>(FieldApplications!O15*SUM('Farm and Rotation Setup'!AH$14:AH$18))+(FieldApplications!N15*SUM('Farm and Rotation Setup'!AG$14:AG$18))+(FieldApplications!C15*SUM('Farm and Rotation Setup'!V$14:V$18))+(FieldApplications!D15*SUM('Farm and Rotation Setup'!W$14:W$18))+(FieldApplications!V15*SUM('Farm and Rotation Setup'!AO$14:AO$18))+(FieldApplications!E15*SUM('Farm and Rotation Setup'!X$14:X$18))+(FieldApplications!G15*SUM('Farm and Rotation Setup'!Z$14:Z$18))+(FieldApplications!W15*SUM('Farm and Rotation Setup'!AP$14:AP$18))+(FieldApplications!R15*SUM('Farm and Rotation Setup'!AK$14:AK$18))+(FieldApplications!P15*SUM('Farm and Rotation Setup'!AI$14:AI$18))+(FieldApplications!Q15*SUM('Farm and Rotation Setup'!AJ$14:AJ$18))+(FieldApplications!H15*SUM('Farm and Rotation Setup'!AA$14:AA$18))+(FieldApplications!X15*SUM('Farm and Rotation Setup'!AQ$14:AQ$18))+(FieldApplications!J15*SUM('Farm and Rotation Setup'!AC$14:AC$18))+(FieldApplications!I15*SUM('Farm and Rotation Setup'!AB$14:AB$18))+(FieldApplications!U15*SUM('Farm and Rotation Setup'!AN$14:AN$18))+(FieldApplications!T15*SUM('Farm and Rotation Setup'!AM$14:AM$18))+(FieldApplications!S15*SUM('Farm and Rotation Setup'!AL$14:AL$18))+(FieldApplications!Y15*SUM('Farm and Rotation Setup'!AR$14:AR$18))+(FieldApplications!F15*SUM('Farm and Rotation Setup'!Y$14:Y$18))+(FieldApplications!Z15*SUM('Farm and Rotation Setup'!AS$14:AS$18))+(FieldApplications!K15*SUM('Farm and Rotation Setup'!AD$14:AD$18))+(FieldApplications!L15*SUM('Farm and Rotation Setup'!AE$14:AE$18))+(FieldApplications!M15*SUM('Farm and Rotation Setup'!AF$14:AF$18))</f>
        <v>2500</v>
      </c>
      <c r="P37" s="80" t="s">
        <v>97</v>
      </c>
      <c r="Q37" s="94">
        <f t="shared" si="18"/>
        <v>255.10204081632656</v>
      </c>
      <c r="R37" s="79">
        <f t="shared" si="22"/>
        <v>2.2448979591836737</v>
      </c>
      <c r="S37" s="79">
        <f t="shared" si="22"/>
        <v>9.387755102040817</v>
      </c>
      <c r="T37" s="79">
        <f>IF(Q37=0,0,((L37)/N37))</f>
        <v>2.0464550709711982</v>
      </c>
      <c r="U37" s="79">
        <f>IF(Q37=0,0,((M37)/N37))</f>
        <v>0.44243999999999989</v>
      </c>
      <c r="V37" s="340">
        <f>IF(Q37=0,0,((Q37-Q17)/Q37))</f>
        <v>0</v>
      </c>
    </row>
    <row r="38" spans="4:22" ht="21">
      <c r="L38" s="210">
        <f>IF(Q38=0,0,(C18*(((E18*(((Q38*D18)/1000))^F18)/D18))/Q38))</f>
        <v>23.56320931494573</v>
      </c>
      <c r="M38" s="79">
        <f>IF(Q38=0,0,((C18-(C18*(G18)))/D18)/Q38)*(1+V38)</f>
        <v>5.1933447194897848</v>
      </c>
      <c r="N38" s="84">
        <f>(I18*J18*(K18/100))/8.25</f>
        <v>50.975757575757576</v>
      </c>
      <c r="O38" s="175">
        <f>(FieldApplications!O16*SUM('Farm and Rotation Setup'!AH$14:AH$18))+(FieldApplications!N16*SUM('Farm and Rotation Setup'!AG$14:AG$18))+(FieldApplications!C16*SUM('Farm and Rotation Setup'!V$14:V$18))+(FieldApplications!D16*SUM('Farm and Rotation Setup'!W$14:W$18))+(FieldApplications!V16*SUM('Farm and Rotation Setup'!AO$14:AO$18))+(FieldApplications!E16*SUM('Farm and Rotation Setup'!X$14:X$18))+(FieldApplications!G16*SUM('Farm and Rotation Setup'!Z$14:Z$18))+(FieldApplications!W16*SUM('Farm and Rotation Setup'!AP$14:AP$18))+(FieldApplications!R16*SUM('Farm and Rotation Setup'!AK$14:AK$18))+(FieldApplications!P16*SUM('Farm and Rotation Setup'!AI$14:AI$18))+(FieldApplications!Q16*SUM('Farm and Rotation Setup'!AJ$14:AJ$18))+(FieldApplications!H16*SUM('Farm and Rotation Setup'!AA$14:AA$18))+(FieldApplications!X16*SUM('Farm and Rotation Setup'!AQ$14:AQ$18))+(FieldApplications!J16*SUM('Farm and Rotation Setup'!AC$14:AC$18))+(FieldApplications!I16*SUM('Farm and Rotation Setup'!AB$14:AB$18))+(FieldApplications!U16*SUM('Farm and Rotation Setup'!AN$14:AN$18))+(FieldApplications!T16*SUM('Farm and Rotation Setup'!AM$14:AM$18))+(FieldApplications!S16*SUM('Farm and Rotation Setup'!AL$14:AL$18))+(FieldApplications!Y16*SUM('Farm and Rotation Setup'!AR$14:AR$18))+(FieldApplications!F16*SUM('Farm and Rotation Setup'!Y$14:Y$18))+(FieldApplications!Z16*SUM('Farm and Rotation Setup'!AS$14:AS$18))+(FieldApplications!K16*SUM('Farm and Rotation Setup'!AD$14:AD$18))+(FieldApplications!L16*SUM('Farm and Rotation Setup'!AE$14:AE$18))+(FieldApplications!M16*SUM('Farm and Rotation Setup'!AF$14:AF$18))</f>
        <v>7250</v>
      </c>
      <c r="P38" s="80">
        <v>2</v>
      </c>
      <c r="Q38" s="94">
        <f t="shared" si="18"/>
        <v>142.22446795862561</v>
      </c>
      <c r="R38" s="79">
        <f t="shared" si="22"/>
        <v>0.4708120318630365</v>
      </c>
      <c r="S38" s="79">
        <f t="shared" si="22"/>
        <v>1.8047794554749732</v>
      </c>
      <c r="T38" s="79">
        <f>IF(Q38=0,0,((L38+$L$6)/N38))</f>
        <v>0.50280018563848705</v>
      </c>
      <c r="U38" s="79">
        <f>IF(Q38=0,0,((M38+$M$6)/N38))</f>
        <v>0.8090118780669916</v>
      </c>
      <c r="V38" s="340">
        <f>IF(Q38=0,0,((Q38-Q18)/Q38))</f>
        <v>3.4482758620689571E-2</v>
      </c>
    </row>
    <row r="39" spans="4:22" ht="21">
      <c r="L39" s="210">
        <f>IF(Q39=0,0,(C15*(((E15*(((Q39*D15)/1000))^F15)/D15))/Q39))</f>
        <v>4.5331132197900024</v>
      </c>
      <c r="M39" s="79">
        <f>IF(Q39=0,0,((C15-(C15*(G15)))/D15)/Q39)*(1+V39)</f>
        <v>2.3924886618998977</v>
      </c>
      <c r="N39" s="84">
        <f>N35</f>
        <v>13.047272727272727</v>
      </c>
      <c r="O39" s="175">
        <f>(FieldApplications!O17*SUM('Farm and Rotation Setup'!AH$14:AH$18))+(FieldApplications!N17*SUM('Farm and Rotation Setup'!AG$14:AG$18))+(FieldApplications!C17*SUM('Farm and Rotation Setup'!V$14:V$18))+(FieldApplications!D17*SUM('Farm and Rotation Setup'!W$14:W$18))+(FieldApplications!V17*SUM('Farm and Rotation Setup'!AO$14:AO$18))+(FieldApplications!E17*SUM('Farm and Rotation Setup'!X$14:X$18))+(FieldApplications!G17*SUM('Farm and Rotation Setup'!Z$14:Z$18))+(FieldApplications!W17*SUM('Farm and Rotation Setup'!AP$14:AP$18))+(FieldApplications!R17*SUM('Farm and Rotation Setup'!AK$14:AK$18))+(FieldApplications!P17*SUM('Farm and Rotation Setup'!AI$14:AI$18))+(FieldApplications!Q17*SUM('Farm and Rotation Setup'!AJ$14:AJ$18))+(FieldApplications!H17*SUM('Farm and Rotation Setup'!AA$14:AA$18))+(FieldApplications!X17*SUM('Farm and Rotation Setup'!AQ$14:AQ$18))+(FieldApplications!J17*SUM('Farm and Rotation Setup'!AC$14:AC$18))+(FieldApplications!I17*SUM('Farm and Rotation Setup'!AB$14:AB$18))+(FieldApplications!U17*SUM('Farm and Rotation Setup'!AN$14:AN$18))+(FieldApplications!T17*SUM('Farm and Rotation Setup'!AM$14:AM$18))+(FieldApplications!S17*SUM('Farm and Rotation Setup'!AL$14:AL$18))+(FieldApplications!Y17*SUM('Farm and Rotation Setup'!AR$14:AR$18))+(FieldApplications!F17*SUM('Farm and Rotation Setup'!Y$14:Y$18))+(FieldApplications!Z17*SUM('Farm and Rotation Setup'!AS$14:AS$18))+(FieldApplications!K17*SUM('Farm and Rotation Setup'!AD$14:AD$18))+(FieldApplications!L17*SUM('Farm and Rotation Setup'!AE$14:AE$18))+(FieldApplications!M17*SUM('Farm and Rotation Setup'!AF$14:AF$18))</f>
        <v>0</v>
      </c>
      <c r="P39" s="80">
        <v>2</v>
      </c>
      <c r="Q39" s="94">
        <f>Q35*0.89</f>
        <v>170.53372352285396</v>
      </c>
      <c r="R39" s="79">
        <f>R15</f>
        <v>1.6861761426978819</v>
      </c>
      <c r="S39" s="79">
        <f>S15</f>
        <v>7.0512820512820511</v>
      </c>
      <c r="T39" s="79">
        <f>IF(Q39=0,0,((L39+$L$6)/N39))</f>
        <v>0.5058930256896228</v>
      </c>
      <c r="U39" s="79">
        <f>IF(Q39=0,0,((M39+$M$6)/N39))</f>
        <v>2.9461434675395459</v>
      </c>
      <c r="V39" s="340">
        <f>IF(Q39=0,0,((Q39-Q15)/Q39))</f>
        <v>0</v>
      </c>
    </row>
    <row r="40" spans="4:22" ht="21">
      <c r="L40" s="210">
        <f>IF(Q40=0,0,(C19*(((E19*(((Q40*D19)/1000))^F19)/D19))/Q40))</f>
        <v>0</v>
      </c>
      <c r="M40" s="79">
        <f>IF(Q40=0,0,((C19-(C19*(G19/100)))/K40)/Q40)</f>
        <v>0</v>
      </c>
      <c r="N40" s="78"/>
      <c r="O40" s="176">
        <f>O19</f>
        <v>7500</v>
      </c>
      <c r="P40" s="78"/>
      <c r="Q40" s="78"/>
      <c r="R40" s="79">
        <f>R19</f>
        <v>3.6</v>
      </c>
      <c r="S40" s="79">
        <f>S19</f>
        <v>1.1499999999999999</v>
      </c>
      <c r="T40" s="79">
        <v>0.8</v>
      </c>
      <c r="U40" s="79">
        <v>0.64</v>
      </c>
    </row>
    <row r="41" spans="4:22" ht="21">
      <c r="L41" s="210">
        <f>IF(Q41=0,0,(C20*(((E20*(((Q41*D20)/1000))^F20)/D20))/Q41))</f>
        <v>0</v>
      </c>
      <c r="M41" s="79">
        <f>IF(Q41=0,0,((C20-(C20*(G20/100)))/K41)/Q41)</f>
        <v>0</v>
      </c>
      <c r="N41" s="78"/>
      <c r="O41" s="176">
        <f>O20</f>
        <v>7500</v>
      </c>
      <c r="P41" s="78"/>
      <c r="Q41" s="78"/>
      <c r="R41" s="79">
        <f>R20</f>
        <v>3.6</v>
      </c>
      <c r="S41" s="79">
        <f>S20</f>
        <v>1.72</v>
      </c>
      <c r="T41" s="79">
        <v>0.8</v>
      </c>
      <c r="U41" s="79">
        <v>0.64</v>
      </c>
    </row>
    <row r="42" spans="4:22" ht="21">
      <c r="L42" s="79"/>
      <c r="M42" s="79"/>
      <c r="N42" s="78"/>
      <c r="O42" s="176"/>
      <c r="P42" s="78"/>
      <c r="Q42" s="78"/>
      <c r="R42" s="79"/>
      <c r="S42" s="118"/>
      <c r="T42" s="79"/>
      <c r="U42" s="79"/>
    </row>
    <row r="43" spans="4:22" ht="22" customHeight="1">
      <c r="L43" s="209" t="s">
        <v>137</v>
      </c>
    </row>
    <row r="44" spans="4:22" ht="22" customHeight="1">
      <c r="L44" s="689" t="s">
        <v>73</v>
      </c>
      <c r="M44" s="689" t="s">
        <v>82</v>
      </c>
      <c r="N44" s="689" t="s">
        <v>74</v>
      </c>
      <c r="O44" s="691" t="s">
        <v>75</v>
      </c>
      <c r="P44" s="693" t="s">
        <v>76</v>
      </c>
      <c r="Q44" s="695" t="s">
        <v>77</v>
      </c>
      <c r="R44" s="689" t="s">
        <v>78</v>
      </c>
      <c r="S44" s="689" t="s">
        <v>79</v>
      </c>
      <c r="T44" s="689" t="s">
        <v>80</v>
      </c>
      <c r="U44" s="689" t="s">
        <v>81</v>
      </c>
      <c r="V44" t="s">
        <v>280</v>
      </c>
    </row>
    <row r="45" spans="4:22" ht="22" customHeight="1">
      <c r="L45" s="690"/>
      <c r="M45" s="690"/>
      <c r="N45" s="690"/>
      <c r="O45" s="692"/>
      <c r="P45" s="694"/>
      <c r="Q45" s="696"/>
      <c r="R45" s="690"/>
      <c r="S45" s="690"/>
      <c r="T45" s="690"/>
      <c r="U45" s="690"/>
    </row>
    <row r="46" spans="4:22" ht="22" customHeight="1">
      <c r="L46" s="79">
        <f t="shared" ref="L46:L55" si="23">IF(Q46=0,0,(C5*(((E5*(((Q46*D5)/1000))^F5)/D5))/Q46))</f>
        <v>1.522967930029155</v>
      </c>
      <c r="M46" s="79">
        <f t="shared" ref="M46:M55" si="24">IF(Q46=0,0,((C5-(C5*(G5)))/D5)/Q46)*(1+V46)</f>
        <v>48.932901691878293</v>
      </c>
      <c r="N46" s="78"/>
      <c r="O46" s="174" t="s">
        <v>8</v>
      </c>
      <c r="P46" s="80">
        <v>1</v>
      </c>
      <c r="Q46" s="94">
        <f>Q48+Q50+Q51+Q52+Q53+Q54</f>
        <v>282.03109815354713</v>
      </c>
      <c r="R46" s="81" t="s">
        <v>8</v>
      </c>
      <c r="S46" s="82"/>
      <c r="T46" s="81" t="s">
        <v>8</v>
      </c>
      <c r="U46" s="81" t="s">
        <v>8</v>
      </c>
      <c r="V46" s="340">
        <f t="shared" ref="V46:V55" si="25">IF(Q5=0,0,((Q46-Q5)/Q5))</f>
        <v>0</v>
      </c>
    </row>
    <row r="47" spans="4:22" ht="22" customHeight="1">
      <c r="L47" s="79">
        <f t="shared" si="23"/>
        <v>1.6057641875546005</v>
      </c>
      <c r="M47" s="79">
        <f t="shared" si="24"/>
        <v>36.046648652761526</v>
      </c>
      <c r="N47" s="78"/>
      <c r="O47" s="78"/>
      <c r="P47" s="80">
        <v>2</v>
      </c>
      <c r="Q47" s="94">
        <f>Q49+Q56+Q58+Q59</f>
        <v>297.36373843603701</v>
      </c>
      <c r="R47" s="81" t="s">
        <v>8</v>
      </c>
      <c r="S47" s="78"/>
      <c r="T47" s="81" t="s">
        <v>8</v>
      </c>
      <c r="U47" s="78"/>
      <c r="V47" s="340">
        <f t="shared" si="25"/>
        <v>-0.22329708842546672</v>
      </c>
    </row>
    <row r="48" spans="4:22" ht="22" customHeight="1">
      <c r="L48" s="79">
        <f t="shared" si="23"/>
        <v>5.9550066125879777</v>
      </c>
      <c r="M48" s="79">
        <f t="shared" si="24"/>
        <v>20.410434782608693</v>
      </c>
      <c r="N48" s="84">
        <f t="shared" ref="N48:N55" si="26">(I7*J7*(K7/100))/8.25</f>
        <v>16.003636363636364</v>
      </c>
      <c r="O48" s="175">
        <f>(FieldApplications!O6*SUM('Farm and Rotation Setup'!AH$23:AH$27))+(FieldApplications!N6*SUM('Farm and Rotation Setup'!AG$23:AG$27))+(FieldApplications!C6*SUM('Farm and Rotation Setup'!V$23:V$27))+(FieldApplications!D6*SUM('Farm and Rotation Setup'!W$23:W$27))+(FieldApplications!V6*SUM('Farm and Rotation Setup'!AO$23:AO$27))+(FieldApplications!E6*SUM('Farm and Rotation Setup'!X$23:X$27))+(FieldApplications!G6*SUM('Farm and Rotation Setup'!Z$23:Z$27))+(FieldApplications!W6*SUM('Farm and Rotation Setup'!AP$23:AP$27))+(FieldApplications!R6*SUM('Farm and Rotation Setup'!AK$23:AK$27))+(FieldApplications!P6*SUM('Farm and Rotation Setup'!AI$23:AI$27))+(FieldApplications!Q6*SUM('Farm and Rotation Setup'!AJ$23:AJ$27))+(FieldApplications!H6*SUM('Farm and Rotation Setup'!AA$23:AA$27))+(FieldApplications!X6*SUM('Farm and Rotation Setup'!AQ$23:AQ$27))+(FieldApplications!J6*SUM('Farm and Rotation Setup'!AC$23:AC$27))+(FieldApplications!I6*SUM('Farm and Rotation Setup'!AB$23:AB$27))+(FieldApplications!U6*SUM('Farm and Rotation Setup'!AN$23:AN$27))+(FieldApplications!T6*SUM('Farm and Rotation Setup'!AM$23:AM$27))+(FieldApplications!S6*SUM('Farm and Rotation Setup'!AL$23:AL$27))+(FieldApplications!Y6*SUM('Farm and Rotation Setup'!AR$23:AR$27))+(FieldApplications!F6*SUM('Farm and Rotation Setup'!Y$23:Y$27))+(FieldApplications!Z6*SUM('Farm and Rotation Setup'!AS$23:AS$27))+(FieldApplications!K6*SUM('Farm and Rotation Setup'!AD$23:AD$27))+(FieldApplications!L6*SUM('Farm and Rotation Setup'!AE$23:AE$27))+(FieldApplications!M6*SUM('Farm and Rotation Setup'!AF$23:AF$27))</f>
        <v>0</v>
      </c>
      <c r="P48" s="80">
        <v>1</v>
      </c>
      <c r="Q48" s="94">
        <f>Q28</f>
        <v>115</v>
      </c>
      <c r="R48" s="79">
        <f>R28</f>
        <v>1.4996591683708247</v>
      </c>
      <c r="S48" s="79">
        <f>S28</f>
        <v>5.7486934787548281</v>
      </c>
      <c r="T48" s="79">
        <f>IF(Q48=0,0,((L48+$L$46)/N48))</f>
        <v>0.46726721181997538</v>
      </c>
      <c r="U48" s="79">
        <f>IF(Q48=0,0,((M48+$M$46)/N48))</f>
        <v>4.3329737628911431</v>
      </c>
      <c r="V48" s="340">
        <f t="shared" si="25"/>
        <v>0</v>
      </c>
    </row>
    <row r="49" spans="12:22" ht="22" customHeight="1">
      <c r="L49" s="79">
        <f t="shared" si="23"/>
        <v>3.396299797229875</v>
      </c>
      <c r="M49" s="79">
        <f t="shared" si="24"/>
        <v>8.3455999999999992</v>
      </c>
      <c r="N49" s="84">
        <f t="shared" si="26"/>
        <v>37.029090909090911</v>
      </c>
      <c r="O49" s="175">
        <f>(FieldApplications!O7*SUM('Farm and Rotation Setup'!AH$23:AH$27))+(FieldApplications!N7*SUM('Farm and Rotation Setup'!AG$23:AG$27))+(FieldApplications!C7*SUM('Farm and Rotation Setup'!V$23:V$27))+(FieldApplications!D7*SUM('Farm and Rotation Setup'!W$23:W$27))+(FieldApplications!V7*SUM('Farm and Rotation Setup'!AO$23:AO$27))+(FieldApplications!E7*SUM('Farm and Rotation Setup'!X$23:X$27))+(FieldApplications!G7*SUM('Farm and Rotation Setup'!Z$23:Z$27))+(FieldApplications!W7*SUM('Farm and Rotation Setup'!AP$23:AP$27))+(FieldApplications!R7*SUM('Farm and Rotation Setup'!AK$23:AK$27))+(FieldApplications!P7*SUM('Farm and Rotation Setup'!AI$23:AI$27))+(FieldApplications!Q7*SUM('Farm and Rotation Setup'!AJ$23:AJ$27))+(FieldApplications!H7*SUM('Farm and Rotation Setup'!AA$23:AA$27))+(FieldApplications!X7*SUM('Farm and Rotation Setup'!AQ$23:AQ$27))+(FieldApplications!J7*SUM('Farm and Rotation Setup'!AC$23:AC$27))+(FieldApplications!I7*SUM('Farm and Rotation Setup'!AB$23:AB$27))+(FieldApplications!U7*SUM('Farm and Rotation Setup'!AN$23:AN$27))+(FieldApplications!T7*SUM('Farm and Rotation Setup'!AM$23:AM$27))+(FieldApplications!S7*SUM('Farm and Rotation Setup'!AL$23:AL$27))+(FieldApplications!Y7*SUM('Farm and Rotation Setup'!AR$23:AR$27))+(FieldApplications!F7*SUM('Farm and Rotation Setup'!Y$23:Y$27))+(FieldApplications!Z7*SUM('Farm and Rotation Setup'!AS$23:AS$27))+(FieldApplications!K7*SUM('Farm and Rotation Setup'!AD$23:AD$27))+(FieldApplications!L7*SUM('Farm and Rotation Setup'!AE$23:AE$27))+(FieldApplications!M7*SUM('Farm and Rotation Setup'!AF$23:AF$27))</f>
        <v>0</v>
      </c>
      <c r="P49" s="80">
        <v>2</v>
      </c>
      <c r="Q49" s="94">
        <f>Q29</f>
        <v>75</v>
      </c>
      <c r="R49" s="79">
        <f t="shared" ref="R49:S61" si="27">R29</f>
        <v>0.59412746734753996</v>
      </c>
      <c r="S49" s="79">
        <f t="shared" si="27"/>
        <v>2.4845330452715308</v>
      </c>
      <c r="T49" s="79">
        <f>IF(Q49=0,0,((L49+$L$47)/N49))</f>
        <v>0.1350847093995611</v>
      </c>
      <c r="U49" s="79">
        <f>IF(Q49=0,0,((M49+$M$47)/N49))</f>
        <v>1.1988479209967022</v>
      </c>
      <c r="V49" s="340">
        <f t="shared" si="25"/>
        <v>0</v>
      </c>
    </row>
    <row r="50" spans="12:22" ht="22" customHeight="1">
      <c r="L50" s="79">
        <f t="shared" si="23"/>
        <v>0</v>
      </c>
      <c r="M50" s="79">
        <f t="shared" si="24"/>
        <v>0</v>
      </c>
      <c r="N50" s="84">
        <f t="shared" si="26"/>
        <v>21.636363636363637</v>
      </c>
      <c r="O50" s="175">
        <f>(FieldApplications!O8*SUM('Farm and Rotation Setup'!AH$23:AH$27))+(FieldApplications!N8*SUM('Farm and Rotation Setup'!AG$23:AG$27))+(FieldApplications!C8*SUM('Farm and Rotation Setup'!V$23:V$27))+(FieldApplications!D8*SUM('Farm and Rotation Setup'!W$23:W$27))+(FieldApplications!V8*SUM('Farm and Rotation Setup'!AO$23:AO$27))+(FieldApplications!E8*SUM('Farm and Rotation Setup'!X$23:X$27))+(FieldApplications!G8*SUM('Farm and Rotation Setup'!Z$23:Z$27))+(FieldApplications!W8*SUM('Farm and Rotation Setup'!AP$23:AP$27))+(FieldApplications!R8*SUM('Farm and Rotation Setup'!AK$23:AK$27))+(FieldApplications!P8*SUM('Farm and Rotation Setup'!AI$23:AI$27))+(FieldApplications!Q8*SUM('Farm and Rotation Setup'!AJ$23:AJ$27))+(FieldApplications!H8*SUM('Farm and Rotation Setup'!AA$23:AA$27))+(FieldApplications!X8*SUM('Farm and Rotation Setup'!AQ$23:AQ$27))+(FieldApplications!J8*SUM('Farm and Rotation Setup'!AC$23:AC$27))+(FieldApplications!I8*SUM('Farm and Rotation Setup'!AB$23:AB$27))+(FieldApplications!U8*SUM('Farm and Rotation Setup'!AN$23:AN$27))+(FieldApplications!T8*SUM('Farm and Rotation Setup'!AM$23:AM$27))+(FieldApplications!S8*SUM('Farm and Rotation Setup'!AL$23:AL$27))+(FieldApplications!Y8*SUM('Farm and Rotation Setup'!AR$23:AR$27))+(FieldApplications!F8*SUM('Farm and Rotation Setup'!Y$23:Y$27))+(FieldApplications!Z8*SUM('Farm and Rotation Setup'!AS$23:AS$27))+(FieldApplications!K8*SUM('Farm and Rotation Setup'!AD$23:AD$27))+(FieldApplications!L8*SUM('Farm and Rotation Setup'!AE$23:AE$27))+(FieldApplications!M8*SUM('Farm and Rotation Setup'!AF$23:AF$27))</f>
        <v>0</v>
      </c>
      <c r="P50" s="80">
        <v>1</v>
      </c>
      <c r="Q50" s="94">
        <f t="shared" ref="Q50:Q58" si="28">O50/N50</f>
        <v>0</v>
      </c>
      <c r="R50" s="79">
        <f t="shared" si="27"/>
        <v>0</v>
      </c>
      <c r="S50" s="79">
        <f t="shared" si="27"/>
        <v>0</v>
      </c>
      <c r="T50" s="79">
        <f t="shared" ref="T50:T54" si="29">IF(Q50=0,0,((L50+$L$46)/N50))</f>
        <v>0</v>
      </c>
      <c r="U50" s="79">
        <f t="shared" ref="U50:U54" si="30">IF(Q50=0,0,((M50+$M$46)/N50))</f>
        <v>0</v>
      </c>
      <c r="V50" s="340">
        <f t="shared" si="25"/>
        <v>0</v>
      </c>
    </row>
    <row r="51" spans="12:22" ht="22" customHeight="1">
      <c r="L51" s="79">
        <f t="shared" si="23"/>
        <v>0</v>
      </c>
      <c r="M51" s="79">
        <f t="shared" si="24"/>
        <v>0</v>
      </c>
      <c r="N51" s="84">
        <f t="shared" si="26"/>
        <v>8.7575757575757578</v>
      </c>
      <c r="O51" s="175">
        <f>(FieldApplications!O9*SUM('Farm and Rotation Setup'!AH$23:AH$27))+(FieldApplications!N9*SUM('Farm and Rotation Setup'!AG$23:AG$27))+(FieldApplications!C9*SUM('Farm and Rotation Setup'!V$23:V$27))+(FieldApplications!D9*SUM('Farm and Rotation Setup'!W$23:W$27))+(FieldApplications!V9*SUM('Farm and Rotation Setup'!AO$23:AO$27))+(FieldApplications!E9*SUM('Farm and Rotation Setup'!X$23:X$27))+(FieldApplications!G9*SUM('Farm and Rotation Setup'!Z$23:Z$27))+(FieldApplications!W9*SUM('Farm and Rotation Setup'!AP$23:AP$27))+(FieldApplications!R9*SUM('Farm and Rotation Setup'!AK$23:AK$27))+(FieldApplications!P9*SUM('Farm and Rotation Setup'!AI$23:AI$27))+(FieldApplications!Q9*SUM('Farm and Rotation Setup'!AJ$23:AJ$27))+(FieldApplications!H9*SUM('Farm and Rotation Setup'!AA$23:AA$27))+(FieldApplications!X9*SUM('Farm and Rotation Setup'!AQ$23:AQ$27))+(FieldApplications!J9*SUM('Farm and Rotation Setup'!AC$23:AC$27))+(FieldApplications!I9*SUM('Farm and Rotation Setup'!AB$23:AB$27))+(FieldApplications!U9*SUM('Farm and Rotation Setup'!AN$23:AN$27))+(FieldApplications!T9*SUM('Farm and Rotation Setup'!AM$23:AM$27))+(FieldApplications!S9*SUM('Farm and Rotation Setup'!AL$23:AL$27))+(FieldApplications!Y9*SUM('Farm and Rotation Setup'!AR$23:AR$27))+(FieldApplications!F9*SUM('Farm and Rotation Setup'!Y$23:Y$27))+(FieldApplications!Z9*SUM('Farm and Rotation Setup'!AS$23:AS$27))+(FieldApplications!K9*SUM('Farm and Rotation Setup'!AD$23:AD$27))+(FieldApplications!L9*SUM('Farm and Rotation Setup'!AE$23:AE$27))+(FieldApplications!M9*SUM('Farm and Rotation Setup'!AF$23:AF$27))</f>
        <v>0</v>
      </c>
      <c r="P51" s="80">
        <v>1</v>
      </c>
      <c r="Q51" s="94">
        <f t="shared" si="28"/>
        <v>0</v>
      </c>
      <c r="R51" s="79">
        <f t="shared" si="27"/>
        <v>0</v>
      </c>
      <c r="S51" s="79">
        <f t="shared" si="27"/>
        <v>0</v>
      </c>
      <c r="T51" s="79">
        <f t="shared" si="29"/>
        <v>0</v>
      </c>
      <c r="U51" s="79">
        <f t="shared" si="30"/>
        <v>0</v>
      </c>
      <c r="V51" s="340">
        <f t="shared" si="25"/>
        <v>0</v>
      </c>
    </row>
    <row r="52" spans="12:22" ht="22" customHeight="1">
      <c r="L52" s="79">
        <f t="shared" si="23"/>
        <v>0</v>
      </c>
      <c r="M52" s="79">
        <f t="shared" si="24"/>
        <v>0</v>
      </c>
      <c r="N52" s="84">
        <f t="shared" si="26"/>
        <v>18.545454545454547</v>
      </c>
      <c r="O52" s="175">
        <f>(FieldApplications!O10*SUM('Farm and Rotation Setup'!AH$23:AH$27))+(FieldApplications!N10*SUM('Farm and Rotation Setup'!AG$23:AG$27))+(FieldApplications!C10*SUM('Farm and Rotation Setup'!V$23:V$27))+(FieldApplications!D10*SUM('Farm and Rotation Setup'!W$23:W$27))+(FieldApplications!V10*SUM('Farm and Rotation Setup'!AO$23:AO$27))+(FieldApplications!E10*SUM('Farm and Rotation Setup'!X$23:X$27))+(FieldApplications!G10*SUM('Farm and Rotation Setup'!Z$23:Z$27))+(FieldApplications!W10*SUM('Farm and Rotation Setup'!AP$23:AP$27))+(FieldApplications!R10*SUM('Farm and Rotation Setup'!AK$23:AK$27))+(FieldApplications!P10*SUM('Farm and Rotation Setup'!AI$23:AI$27))+(FieldApplications!Q10*SUM('Farm and Rotation Setup'!AJ$23:AJ$27))+(FieldApplications!H10*SUM('Farm and Rotation Setup'!AA$23:AA$27))+(FieldApplications!X10*SUM('Farm and Rotation Setup'!AQ$23:AQ$27))+(FieldApplications!J10*SUM('Farm and Rotation Setup'!AC$23:AC$27))+(FieldApplications!I10*SUM('Farm and Rotation Setup'!AB$23:AB$27))+(FieldApplications!U10*SUM('Farm and Rotation Setup'!AN$23:AN$27))+(FieldApplications!T10*SUM('Farm and Rotation Setup'!AM$23:AM$27))+(FieldApplications!S10*SUM('Farm and Rotation Setup'!AL$23:AL$27))+(FieldApplications!Y10*SUM('Farm and Rotation Setup'!AR$23:AR$27))+(FieldApplications!F10*SUM('Farm and Rotation Setup'!Y$23:Y$27))+(FieldApplications!Z10*SUM('Farm and Rotation Setup'!AS$23:AS$27))+(FieldApplications!K10*SUM('Farm and Rotation Setup'!AD$23:AD$27))+(FieldApplications!L10*SUM('Farm and Rotation Setup'!AE$23:AE$27))+(FieldApplications!M10*SUM('Farm and Rotation Setup'!AF$23:AF$27))</f>
        <v>0</v>
      </c>
      <c r="P52" s="80">
        <v>1</v>
      </c>
      <c r="Q52" s="94">
        <f t="shared" si="28"/>
        <v>0</v>
      </c>
      <c r="R52" s="79">
        <f t="shared" si="27"/>
        <v>0</v>
      </c>
      <c r="S52" s="79">
        <f t="shared" si="27"/>
        <v>0</v>
      </c>
      <c r="T52" s="79">
        <f t="shared" si="29"/>
        <v>0</v>
      </c>
      <c r="U52" s="79">
        <f t="shared" si="30"/>
        <v>0</v>
      </c>
      <c r="V52" s="340">
        <f t="shared" si="25"/>
        <v>0</v>
      </c>
    </row>
    <row r="53" spans="12:22" ht="22" customHeight="1">
      <c r="L53" s="79">
        <f t="shared" si="23"/>
        <v>0</v>
      </c>
      <c r="M53" s="79">
        <f t="shared" si="24"/>
        <v>0</v>
      </c>
      <c r="N53" s="84">
        <f t="shared" si="26"/>
        <v>18.545454545454547</v>
      </c>
      <c r="O53" s="175">
        <f>(FieldApplications!O11*SUM('Farm and Rotation Setup'!AH$23:AH$27))+(FieldApplications!N11*SUM('Farm and Rotation Setup'!AG$23:AG$27))+(FieldApplications!C11*SUM('Farm and Rotation Setup'!V$23:V$27))+(FieldApplications!D11*SUM('Farm and Rotation Setup'!W$23:W$27))+(FieldApplications!V11*SUM('Farm and Rotation Setup'!AO$23:AO$27))+(FieldApplications!E11*SUM('Farm and Rotation Setup'!X$23:X$27))+(FieldApplications!G11*SUM('Farm and Rotation Setup'!Z$23:Z$27))+(FieldApplications!W11*SUM('Farm and Rotation Setup'!AP$23:AP$27))+(FieldApplications!R11*SUM('Farm and Rotation Setup'!AK$23:AK$27))+(FieldApplications!P11*SUM('Farm and Rotation Setup'!AI$23:AI$27))+(FieldApplications!Q11*SUM('Farm and Rotation Setup'!AJ$23:AJ$27))+(FieldApplications!H11*SUM('Farm and Rotation Setup'!AA$23:AA$27))+(FieldApplications!X11*SUM('Farm and Rotation Setup'!AQ$23:AQ$27))+(FieldApplications!J11*SUM('Farm and Rotation Setup'!AC$23:AC$27))+(FieldApplications!I11*SUM('Farm and Rotation Setup'!AB$23:AB$27))+(FieldApplications!U11*SUM('Farm and Rotation Setup'!AN$23:AN$27))+(FieldApplications!T11*SUM('Farm and Rotation Setup'!AM$23:AM$27))+(FieldApplications!S11*SUM('Farm and Rotation Setup'!AL$23:AL$27))+(FieldApplications!Y11*SUM('Farm and Rotation Setup'!AR$23:AR$27))+(FieldApplications!F11*SUM('Farm and Rotation Setup'!Y$23:Y$27))+(FieldApplications!Z11*SUM('Farm and Rotation Setup'!AS$23:AS$27))+(FieldApplications!K11*SUM('Farm and Rotation Setup'!AD$23:AD$27))+(FieldApplications!L11*SUM('Farm and Rotation Setup'!AE$23:AE$27))+(FieldApplications!M11*SUM('Farm and Rotation Setup'!AF$23:AF$27))</f>
        <v>0</v>
      </c>
      <c r="P53" s="80">
        <v>1</v>
      </c>
      <c r="Q53" s="94">
        <f t="shared" si="28"/>
        <v>0</v>
      </c>
      <c r="R53" s="79">
        <f t="shared" si="27"/>
        <v>0</v>
      </c>
      <c r="S53" s="79">
        <f t="shared" si="27"/>
        <v>0</v>
      </c>
      <c r="T53" s="79">
        <f t="shared" si="29"/>
        <v>0</v>
      </c>
      <c r="U53" s="79">
        <f t="shared" si="30"/>
        <v>0</v>
      </c>
      <c r="V53" s="340">
        <f t="shared" si="25"/>
        <v>0</v>
      </c>
    </row>
    <row r="54" spans="12:22" ht="22" customHeight="1">
      <c r="L54" s="79">
        <f t="shared" si="23"/>
        <v>84.39530896272025</v>
      </c>
      <c r="M54" s="79">
        <f t="shared" si="24"/>
        <v>59.458987636363638</v>
      </c>
      <c r="N54" s="84">
        <f t="shared" si="26"/>
        <v>14.967272727272727</v>
      </c>
      <c r="O54" s="175">
        <f>(FieldApplications!O12*SUM('Farm and Rotation Setup'!AH$23:AH$27))+(FieldApplications!N12*SUM('Farm and Rotation Setup'!AG$23:AG$27))+(FieldApplications!C12*SUM('Farm and Rotation Setup'!V$23:V$27))+(FieldApplications!D12*SUM('Farm and Rotation Setup'!W$23:W$27))+(FieldApplications!V12*SUM('Farm and Rotation Setup'!AO$23:AO$27))+(FieldApplications!E12*SUM('Farm and Rotation Setup'!X$23:X$27))+(FieldApplications!G12*SUM('Farm and Rotation Setup'!Z$23:Z$27))+(FieldApplications!W12*SUM('Farm and Rotation Setup'!AP$23:AP$27))+(FieldApplications!R12*SUM('Farm and Rotation Setup'!AK$23:AK$27))+(FieldApplications!P12*SUM('Farm and Rotation Setup'!AI$23:AI$27))+(FieldApplications!Q12*SUM('Farm and Rotation Setup'!AJ$23:AJ$27))+(FieldApplications!H12*SUM('Farm and Rotation Setup'!AA$23:AA$27))+(FieldApplications!X12*SUM('Farm and Rotation Setup'!AQ$23:AQ$27))+(FieldApplications!J12*SUM('Farm and Rotation Setup'!AC$23:AC$27))+(FieldApplications!I12*SUM('Farm and Rotation Setup'!AB$23:AB$27))+(FieldApplications!U12*SUM('Farm and Rotation Setup'!AN$23:AN$27))+(FieldApplications!T12*SUM('Farm and Rotation Setup'!AM$23:AM$27))+(FieldApplications!S12*SUM('Farm and Rotation Setup'!AL$23:AL$27))+(FieldApplications!Y12*SUM('Farm and Rotation Setup'!AR$23:AR$27))+(FieldApplications!F12*SUM('Farm and Rotation Setup'!Y$23:Y$27))+(FieldApplications!Z12*SUM('Farm and Rotation Setup'!AS$23:AS$27))+(FieldApplications!K12*SUM('Farm and Rotation Setup'!AD$23:AD$27))+(FieldApplications!L12*SUM('Farm and Rotation Setup'!AE$23:AE$27))+(FieldApplications!M12*SUM('Farm and Rotation Setup'!AF$23:AF$27))</f>
        <v>2500</v>
      </c>
      <c r="P54" s="80">
        <v>1</v>
      </c>
      <c r="Q54" s="94">
        <f t="shared" si="28"/>
        <v>167.03109815354713</v>
      </c>
      <c r="R54" s="79">
        <f t="shared" si="27"/>
        <v>1.6703109815354713</v>
      </c>
      <c r="S54" s="79">
        <f t="shared" si="27"/>
        <v>6.146744412050535</v>
      </c>
      <c r="T54" s="79">
        <f t="shared" si="29"/>
        <v>5.740409656342587</v>
      </c>
      <c r="U54" s="79">
        <f t="shared" si="30"/>
        <v>7.2419265221735989</v>
      </c>
      <c r="V54" s="340">
        <f t="shared" si="25"/>
        <v>0</v>
      </c>
    </row>
    <row r="55" spans="12:22" ht="22" customHeight="1">
      <c r="L55" s="79">
        <f t="shared" si="23"/>
        <v>52.732249876602538</v>
      </c>
      <c r="M55" s="79">
        <f t="shared" si="24"/>
        <v>126.60029672727273</v>
      </c>
      <c r="N55" s="84">
        <f t="shared" si="26"/>
        <v>13.047272727272727</v>
      </c>
      <c r="O55" s="175">
        <f>(FieldApplications!O13*SUM('Farm and Rotation Setup'!AH$23:AH$27))+(FieldApplications!N13*SUM('Farm and Rotation Setup'!AG$23:AG$27))+(FieldApplications!C13*SUM('Farm and Rotation Setup'!V$23:V$27))+(FieldApplications!D13*SUM('Farm and Rotation Setup'!W$23:W$27))+(FieldApplications!V13*SUM('Farm and Rotation Setup'!AO$23:AO$27))+(FieldApplications!E13*SUM('Farm and Rotation Setup'!X$23:X$27))+(FieldApplications!G13*SUM('Farm and Rotation Setup'!Z$23:Z$27))+(FieldApplications!W13*SUM('Farm and Rotation Setup'!AP$23:AP$27))+(FieldApplications!R13*SUM('Farm and Rotation Setup'!AK$23:AK$27))+(FieldApplications!P13*SUM('Farm and Rotation Setup'!AI$23:AI$27))+(FieldApplications!Q13*SUM('Farm and Rotation Setup'!AJ$23:AJ$27))+(FieldApplications!H13*SUM('Farm and Rotation Setup'!AA$23:AA$27))+(FieldApplications!X13*SUM('Farm and Rotation Setup'!AQ$23:AQ$27))+(FieldApplications!J13*SUM('Farm and Rotation Setup'!AC$23:AC$27))+(FieldApplications!I13*SUM('Farm and Rotation Setup'!AB$23:AB$27))+(FieldApplications!U13*SUM('Farm and Rotation Setup'!AN$23:AN$27))+(FieldApplications!T13*SUM('Farm and Rotation Setup'!AM$23:AM$27))+(FieldApplications!S13*SUM('Farm and Rotation Setup'!AL$23:AL$27))+(FieldApplications!Y13*SUM('Farm and Rotation Setup'!AR$23:AR$27))+(FieldApplications!F13*SUM('Farm and Rotation Setup'!Y$23:Y$27))+(FieldApplications!Z13*SUM('Farm and Rotation Setup'!AS$23:AS$27))+(FieldApplications!K13*SUM('Farm and Rotation Setup'!AD$23:AD$27))+(FieldApplications!L13*SUM('Farm and Rotation Setup'!AE$23:AE$27))+(FieldApplications!M13*SUM('Farm and Rotation Setup'!AF$23:AF$27))</f>
        <v>1750</v>
      </c>
      <c r="P55" s="80" t="s">
        <v>97</v>
      </c>
      <c r="Q55" s="94">
        <f t="shared" si="28"/>
        <v>134.12764771460425</v>
      </c>
      <c r="R55" s="79">
        <f t="shared" si="27"/>
        <v>1.9161092530657748</v>
      </c>
      <c r="S55" s="79">
        <f t="shared" si="27"/>
        <v>7.0512820512820511</v>
      </c>
      <c r="T55" s="79">
        <f>IF(Q55=0,0,((L55)/N55))</f>
        <v>4.0416300769413871</v>
      </c>
      <c r="U55" s="79">
        <f>IF(Q55=0,0,((M55)/N55))</f>
        <v>9.7032000000000007</v>
      </c>
      <c r="V55" s="340">
        <f t="shared" si="25"/>
        <v>-0.29999999999999993</v>
      </c>
    </row>
    <row r="56" spans="12:22" ht="22" customHeight="1">
      <c r="L56" s="79">
        <f>IF(Q56=0,0,(C16*(((E16*(((Q56*D16)/1000))^F16)/D16))/Q56))</f>
        <v>0</v>
      </c>
      <c r="M56" s="79">
        <f>IF(Q56=0,0,((C16-(C16*(G16)))/D16)/Q56)*(1+V56)</f>
        <v>0</v>
      </c>
      <c r="N56" s="84">
        <f>(I16*J16*(K16/100))/8.25</f>
        <v>20.363636363636363</v>
      </c>
      <c r="O56" s="175">
        <f>(FieldApplications!O14*SUM('Farm and Rotation Setup'!AH$23:AH$27))+(FieldApplications!N14*SUM('Farm and Rotation Setup'!AG$23:AG$27))+(FieldApplications!C14*SUM('Farm and Rotation Setup'!V$23:V$27))+(FieldApplications!D14*SUM('Farm and Rotation Setup'!W$23:W$27))+(FieldApplications!V14*SUM('Farm and Rotation Setup'!AO$23:AO$27))+(FieldApplications!E14*SUM('Farm and Rotation Setup'!X$23:X$27))+(FieldApplications!G14*SUM('Farm and Rotation Setup'!Z$23:Z$27))+(FieldApplications!W14*SUM('Farm and Rotation Setup'!AP$23:AP$27))+(FieldApplications!R14*SUM('Farm and Rotation Setup'!AK$23:AK$27))+(FieldApplications!P14*SUM('Farm and Rotation Setup'!AI$23:AI$27))+(FieldApplications!Q14*SUM('Farm and Rotation Setup'!AJ$23:AJ$27))+(FieldApplications!H14*SUM('Farm and Rotation Setup'!AA$23:AA$27))+(FieldApplications!X14*SUM('Farm and Rotation Setup'!AQ$23:AQ$27))+(FieldApplications!J14*SUM('Farm and Rotation Setup'!AC$23:AC$27))+(FieldApplications!I14*SUM('Farm and Rotation Setup'!AB$23:AB$27))+(FieldApplications!U14*SUM('Farm and Rotation Setup'!AN$23:AN$27))+(FieldApplications!T14*SUM('Farm and Rotation Setup'!AM$23:AM$27))+(FieldApplications!S14*SUM('Farm and Rotation Setup'!AL$23:AL$27))+(FieldApplications!Y14*SUM('Farm and Rotation Setup'!AR$23:AR$27))+(FieldApplications!F14*SUM('Farm and Rotation Setup'!Y$23:Y$27))+(FieldApplications!Z14*SUM('Farm and Rotation Setup'!AS$23:AS$27))+(FieldApplications!K14*SUM('Farm and Rotation Setup'!AD$23:AD$27))+(FieldApplications!L14*SUM('Farm and Rotation Setup'!AE$23:AE$27))+(FieldApplications!M14*SUM('Farm and Rotation Setup'!AF$23:AF$27))</f>
        <v>0</v>
      </c>
      <c r="P56" s="80">
        <v>2</v>
      </c>
      <c r="Q56" s="94">
        <f t="shared" si="28"/>
        <v>0</v>
      </c>
      <c r="R56" s="79">
        <f t="shared" si="27"/>
        <v>0</v>
      </c>
      <c r="S56" s="79">
        <f t="shared" si="27"/>
        <v>0</v>
      </c>
      <c r="T56" s="79">
        <f>IF(Q56=0,0,((L56+$L$47)/N56))</f>
        <v>0</v>
      </c>
      <c r="U56" s="79">
        <f>IF(Q56=0,0,((M56+$M$47)/N56))</f>
        <v>0</v>
      </c>
      <c r="V56" s="340">
        <f>IF(Q16=0,0,((Q56-Q16)/Q16))</f>
        <v>0</v>
      </c>
    </row>
    <row r="57" spans="12:22" ht="22" customHeight="1">
      <c r="L57" s="79">
        <f>IF(Q57=0,0,(C17*(((E17*(((Q57*D17)/1000))^F17)/D17))/Q57))</f>
        <v>18.0201209676217</v>
      </c>
      <c r="M57" s="79">
        <f>IF(Q57=0,0,((C17-(C17*(G17)))/D17)/Q57)*(1+V57)</f>
        <v>4.3359119999999995</v>
      </c>
      <c r="N57" s="84">
        <f>(I17*J17*(K17/100))/8.25</f>
        <v>9.7999999999999989</v>
      </c>
      <c r="O57" s="175">
        <f>(FieldApplications!O15*SUM('Farm and Rotation Setup'!AH$23:AH$27))+(FieldApplications!N15*SUM('Farm and Rotation Setup'!AG$23:AG$27))+(FieldApplications!C15*SUM('Farm and Rotation Setup'!V$23:V$27))+(FieldApplications!D15*SUM('Farm and Rotation Setup'!W$23:W$27))+(FieldApplications!V15*SUM('Farm and Rotation Setup'!AO$23:AO$27))+(FieldApplications!E15*SUM('Farm and Rotation Setup'!X$23:X$27))+(FieldApplications!G15*SUM('Farm and Rotation Setup'!Z$23:Z$27))+(FieldApplications!W15*SUM('Farm and Rotation Setup'!AP$23:AP$27))+(FieldApplications!R15*SUM('Farm and Rotation Setup'!AK$23:AK$27))+(FieldApplications!P15*SUM('Farm and Rotation Setup'!AI$23:AI$27))+(FieldApplications!Q15*SUM('Farm and Rotation Setup'!AJ$23:AJ$27))+(FieldApplications!H15*SUM('Farm and Rotation Setup'!AA$23:AA$27))+(FieldApplications!X15*SUM('Farm and Rotation Setup'!AQ$23:AQ$27))+(FieldApplications!J15*SUM('Farm and Rotation Setup'!AC$23:AC$27))+(FieldApplications!I15*SUM('Farm and Rotation Setup'!AB$23:AB$27))+(FieldApplications!U15*SUM('Farm and Rotation Setup'!AN$23:AN$27))+(FieldApplications!T15*SUM('Farm and Rotation Setup'!AM$23:AM$27))+(FieldApplications!S15*SUM('Farm and Rotation Setup'!AL$23:AL$27))+(FieldApplications!Y15*SUM('Farm and Rotation Setup'!AR$23:AR$27))+(FieldApplications!F15*SUM('Farm and Rotation Setup'!Y$23:Y$27))+(FieldApplications!Z15*SUM('Farm and Rotation Setup'!AS$23:AS$27))+(FieldApplications!K15*SUM('Farm and Rotation Setup'!AD$23:AD$27))+(FieldApplications!L15*SUM('Farm and Rotation Setup'!AE$23:AE$27))+(FieldApplications!M15*SUM('Farm and Rotation Setup'!AF$23:AF$27))</f>
        <v>1750</v>
      </c>
      <c r="P57" s="80" t="s">
        <v>97</v>
      </c>
      <c r="Q57" s="94">
        <f t="shared" si="28"/>
        <v>178.57142857142858</v>
      </c>
      <c r="R57" s="79">
        <f t="shared" si="27"/>
        <v>2.2448979591836737</v>
      </c>
      <c r="S57" s="79">
        <f t="shared" si="27"/>
        <v>9.387755102040817</v>
      </c>
      <c r="T57" s="79">
        <f>IF(Q57=0,0,((L57)/N57))</f>
        <v>1.8387878538389493</v>
      </c>
      <c r="U57" s="79">
        <f>IF(Q57=0,0,((M57)/N57))</f>
        <v>0.44244</v>
      </c>
      <c r="V57" s="340">
        <f>IF(Q17=0,0,((Q57-Q17)/Q17))</f>
        <v>-0.30000000000000004</v>
      </c>
    </row>
    <row r="58" spans="12:22" ht="22" customHeight="1">
      <c r="L58" s="79">
        <f>IF(Q58=0,0,(C18*(((E18*(((Q58*D18)/1000))^F18)/D18))/Q58))</f>
        <v>21.388524729828728</v>
      </c>
      <c r="M58" s="79">
        <f>IF(Q58=0,0,((C18-(C18*(G18)))/D18)/Q58)*(1+V58)</f>
        <v>5.1995272727272717</v>
      </c>
      <c r="N58" s="84">
        <f>(I18*J18*(K18/100))/8.25</f>
        <v>50.975757575757576</v>
      </c>
      <c r="O58" s="175">
        <f>(FieldApplications!O16*SUM('Farm and Rotation Setup'!AH$23:AH$27))+(FieldApplications!N16*SUM('Farm and Rotation Setup'!AG$23:AG$27))+(FieldApplications!C16*SUM('Farm and Rotation Setup'!V$23:V$27))+(FieldApplications!D16*SUM('Farm and Rotation Setup'!W$23:W$27))+(FieldApplications!V16*SUM('Farm and Rotation Setup'!AO$23:AO$27))+(FieldApplications!E16*SUM('Farm and Rotation Setup'!X$23:X$27))+(FieldApplications!G16*SUM('Farm and Rotation Setup'!Z$23:Z$27))+(FieldApplications!W16*SUM('Farm and Rotation Setup'!AP$23:AP$27))+(FieldApplications!R16*SUM('Farm and Rotation Setup'!AK$23:AK$27))+(FieldApplications!P16*SUM('Farm and Rotation Setup'!AI$23:AI$27))+(FieldApplications!Q16*SUM('Farm and Rotation Setup'!AJ$23:AJ$27))+(FieldApplications!H16*SUM('Farm and Rotation Setup'!AA$23:AA$27))+(FieldApplications!X16*SUM('Farm and Rotation Setup'!AQ$23:AQ$27))+(FieldApplications!J16*SUM('Farm and Rotation Setup'!AC$23:AC$27))+(FieldApplications!I16*SUM('Farm and Rotation Setup'!AB$23:AB$27))+(FieldApplications!U16*SUM('Farm and Rotation Setup'!AN$23:AN$27))+(FieldApplications!T16*SUM('Farm and Rotation Setup'!AM$23:AM$27))+(FieldApplications!S16*SUM('Farm and Rotation Setup'!AL$23:AL$27))+(FieldApplications!Y16*SUM('Farm and Rotation Setup'!AR$23:AR$27))+(FieldApplications!F16*SUM('Farm and Rotation Setup'!Y$23:Y$27))+(FieldApplications!Z16*SUM('Farm and Rotation Setup'!AS$23:AS$27))+(FieldApplications!K16*SUM('Farm and Rotation Setup'!AD$23:AD$27))+(FieldApplications!L16*SUM('Farm and Rotation Setup'!AE$23:AE$27))+(FieldApplications!M16*SUM('Farm and Rotation Setup'!AF$23:AF$27))</f>
        <v>5250</v>
      </c>
      <c r="P58" s="80">
        <v>2</v>
      </c>
      <c r="Q58" s="94">
        <f t="shared" si="28"/>
        <v>102.99013197003923</v>
      </c>
      <c r="R58" s="79">
        <f t="shared" si="27"/>
        <v>0.4708120318630365</v>
      </c>
      <c r="S58" s="79">
        <f t="shared" si="27"/>
        <v>1.8047794554749732</v>
      </c>
      <c r="T58" s="79">
        <f>IF(Q58=0,0,((L58+$L$47)/N58))</f>
        <v>0.4510828286016228</v>
      </c>
      <c r="U58" s="79">
        <f>IF(Q58=0,0,((M58+$M$47)/N58))</f>
        <v>0.80913316225248511</v>
      </c>
      <c r="V58" s="340">
        <f>IF(Q18=0,0,((Q58-Q18)/Q18))</f>
        <v>-0.25000000000000011</v>
      </c>
    </row>
    <row r="59" spans="12:22" ht="22" customHeight="1">
      <c r="L59" s="79">
        <f>IF(Q59=0,0,(C15*(((E15*(((Q59*D15)/1000))^F15)/D15))/Q59))</f>
        <v>4.0731084922723628</v>
      </c>
      <c r="M59" s="79">
        <f>IF(Q59=0,0,((C15-(C15*(G15)))/D15)/Q59)*(1+V59)</f>
        <v>2.3924886618998977</v>
      </c>
      <c r="N59" s="84">
        <f>N55</f>
        <v>13.047272727272727</v>
      </c>
      <c r="O59" s="175">
        <f>(FieldApplications!O17*SUM('Farm and Rotation Setup'!AH$23:AH$27))+(FieldApplications!N17*SUM('Farm and Rotation Setup'!AG$23:AG$27))+(FieldApplications!C17*SUM('Farm and Rotation Setup'!V$23:V$27))+(FieldApplications!D17*SUM('Farm and Rotation Setup'!W$23:W$27))+(FieldApplications!V17*SUM('Farm and Rotation Setup'!AO$23:AO$27))+(FieldApplications!E17*SUM('Farm and Rotation Setup'!X$23:X$27))+(FieldApplications!G17*SUM('Farm and Rotation Setup'!Z$23:Z$27))+(FieldApplications!W17*SUM('Farm and Rotation Setup'!AP$23:AP$27))+(FieldApplications!R17*SUM('Farm and Rotation Setup'!AK$23:AK$27))+(FieldApplications!P17*SUM('Farm and Rotation Setup'!AI$23:AI$27))+(FieldApplications!Q17*SUM('Farm and Rotation Setup'!AJ$23:AJ$27))+(FieldApplications!H17*SUM('Farm and Rotation Setup'!AA$23:AA$27))+(FieldApplications!X17*SUM('Farm and Rotation Setup'!AQ$23:AQ$27))+(FieldApplications!J17*SUM('Farm and Rotation Setup'!AC$23:AC$27))+(FieldApplications!I17*SUM('Farm and Rotation Setup'!AB$23:AB$27))+(FieldApplications!U17*SUM('Farm and Rotation Setup'!AN$23:AN$27))+(FieldApplications!T17*SUM('Farm and Rotation Setup'!AM$23:AM$27))+(FieldApplications!S17*SUM('Farm and Rotation Setup'!AL$23:AL$27))+(FieldApplications!Y17*SUM('Farm and Rotation Setup'!AR$23:AR$27))+(FieldApplications!F17*SUM('Farm and Rotation Setup'!Y$23:Y$27))+(FieldApplications!Z17*SUM('Farm and Rotation Setup'!AS$23:AS$27))+(FieldApplications!K17*SUM('Farm and Rotation Setup'!AD$23:AD$27))+(FieldApplications!L17*SUM('Farm and Rotation Setup'!AE$23:AE$27))+(FieldApplications!M17*SUM('Farm and Rotation Setup'!AF$23:AF$27))</f>
        <v>0</v>
      </c>
      <c r="P59" s="80">
        <v>2</v>
      </c>
      <c r="Q59" s="94">
        <f>Q55*0.89</f>
        <v>119.37360646599778</v>
      </c>
      <c r="R59" s="79">
        <f t="shared" si="27"/>
        <v>1.6861761426978819</v>
      </c>
      <c r="S59" s="79">
        <f t="shared" si="27"/>
        <v>7.0512820512820511</v>
      </c>
      <c r="T59" s="79">
        <f>IF(Q59=0,0,((L59+$L$47)/N59))</f>
        <v>0.43525361955195507</v>
      </c>
      <c r="U59" s="79">
        <f>IF(Q59=0,0,((M59+$M$47)/N59))</f>
        <v>2.9461434675395459</v>
      </c>
      <c r="V59" s="340">
        <f>IF(Q15=0,0,((Q59-Q15)/Q15))</f>
        <v>-0.29999999999999993</v>
      </c>
    </row>
    <row r="60" spans="12:22" ht="22" customHeight="1">
      <c r="L60" s="79">
        <f>IF(Q60=0,0,(C19*(((E19*(((Q60*D19)/1000))^F19)/D19))/Q60))</f>
        <v>0</v>
      </c>
      <c r="M60" s="79">
        <f>IF(Q60=0,0,((C19-(C19*(G19/100)))/K60)/Q60)</f>
        <v>0</v>
      </c>
      <c r="N60" s="78"/>
      <c r="O60" s="176">
        <f>O40</f>
        <v>7500</v>
      </c>
      <c r="P60" s="78"/>
      <c r="Q60" s="78"/>
      <c r="R60" s="79">
        <f t="shared" si="27"/>
        <v>3.6</v>
      </c>
      <c r="S60" s="79">
        <f t="shared" si="27"/>
        <v>1.1499999999999999</v>
      </c>
      <c r="T60" s="79">
        <v>0.8</v>
      </c>
      <c r="U60" s="79">
        <v>0.64</v>
      </c>
    </row>
    <row r="61" spans="12:22" ht="22" customHeight="1">
      <c r="L61" s="79">
        <f>IF(Q61=0,0,(C20*(((E20*(((Q61*D20)/1000))^F20)/D20))/Q61))</f>
        <v>0</v>
      </c>
      <c r="M61" s="79">
        <f>IF(Q61=0,0,((C20-(C20*(G20/100)))/K61)/Q61)</f>
        <v>0</v>
      </c>
      <c r="N61" s="78"/>
      <c r="O61" s="176">
        <f>O41</f>
        <v>7500</v>
      </c>
      <c r="P61" s="78"/>
      <c r="Q61" s="78"/>
      <c r="R61" s="79">
        <f t="shared" si="27"/>
        <v>3.6</v>
      </c>
      <c r="S61" s="79">
        <f t="shared" si="27"/>
        <v>1.72</v>
      </c>
      <c r="T61" s="79">
        <v>0.8</v>
      </c>
      <c r="U61" s="79">
        <v>0.64</v>
      </c>
    </row>
    <row r="62" spans="12:22" ht="22" customHeight="1"/>
    <row r="63" spans="12:22" ht="22" customHeight="1"/>
    <row r="81" ht="21" customHeight="1"/>
  </sheetData>
  <sheetProtection algorithmName="SHA-512" hashValue="GaPZS+Sax7arAE6Gs3/Fdmnfb6pivGZIAGJDjTGZnCrNE4fbcf9ydNj9PCiGA6JssZcCdp+c32KuKAaiq22xpg==" saltValue="tuBJVcPEg0tAZBUXtR6/Hw==" spinCount="100000" sheet="1" objects="1" scenarios="1"/>
  <mergeCells count="41">
    <mergeCell ref="Q44:Q45"/>
    <mergeCell ref="R44:R45"/>
    <mergeCell ref="S44:S45"/>
    <mergeCell ref="T44:T45"/>
    <mergeCell ref="U44:U45"/>
    <mergeCell ref="L44:L45"/>
    <mergeCell ref="M44:M45"/>
    <mergeCell ref="N44:N45"/>
    <mergeCell ref="O44:O45"/>
    <mergeCell ref="P44:P45"/>
    <mergeCell ref="Q23:Q25"/>
    <mergeCell ref="R23:R25"/>
    <mergeCell ref="S23:S25"/>
    <mergeCell ref="T23:T25"/>
    <mergeCell ref="U23:U25"/>
    <mergeCell ref="L23:L25"/>
    <mergeCell ref="M23:M25"/>
    <mergeCell ref="N23:N25"/>
    <mergeCell ref="O23:O25"/>
    <mergeCell ref="P23:P25"/>
    <mergeCell ref="K3:K4"/>
    <mergeCell ref="L3:L4"/>
    <mergeCell ref="M3:M4"/>
    <mergeCell ref="N3:N4"/>
    <mergeCell ref="O3:O4"/>
    <mergeCell ref="B2:AK2"/>
    <mergeCell ref="V3:V4"/>
    <mergeCell ref="Q3:Q4"/>
    <mergeCell ref="R3:R4"/>
    <mergeCell ref="S3:S4"/>
    <mergeCell ref="T3:T4"/>
    <mergeCell ref="U3:U4"/>
    <mergeCell ref="P3:P4"/>
    <mergeCell ref="B3:B4"/>
    <mergeCell ref="C3:C4"/>
    <mergeCell ref="D3:D4"/>
    <mergeCell ref="E3:F4"/>
    <mergeCell ref="G3:G4"/>
    <mergeCell ref="H3:H4"/>
    <mergeCell ref="I3:I4"/>
    <mergeCell ref="J3:J4"/>
  </mergeCells>
  <pageMargins left="0.7" right="0.7" top="0.75" bottom="0.75" header="0.3" footer="0.3"/>
  <pageSetup scale="69" orientation="portrait" horizontalDpi="360" verticalDpi="36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0372-2C87-004E-844A-273B04B6DCF2}">
  <sheetPr codeName="Sheet36">
    <pageSetUpPr fitToPage="1"/>
  </sheetPr>
  <dimension ref="A1:AA68"/>
  <sheetViews>
    <sheetView topLeftCell="B1" zoomScale="110" zoomScaleNormal="110" workbookViewId="0">
      <pane xSplit="1" topLeftCell="C1" activePane="topRight" state="frozen"/>
      <selection activeCell="B1" sqref="B1"/>
      <selection pane="topRight" activeCell="B2" sqref="B2:Z2"/>
    </sheetView>
  </sheetViews>
  <sheetFormatPr baseColWidth="10" defaultColWidth="11.5" defaultRowHeight="20"/>
  <cols>
    <col min="1" max="1" width="5.6640625" customWidth="1"/>
    <col min="2" max="2" width="32" customWidth="1"/>
    <col min="3" max="7" width="25.83203125" customWidth="1"/>
    <col min="8" max="8" width="25.83203125" style="2" customWidth="1"/>
    <col min="9" max="9" width="25.83203125" style="168" customWidth="1"/>
    <col min="10" max="10" width="25.83203125" style="2" customWidth="1"/>
    <col min="11" max="18" width="25.83203125" customWidth="1"/>
    <col min="19" max="21" width="25.83203125" style="2" customWidth="1"/>
    <col min="22" max="22" width="25.83203125" customWidth="1"/>
    <col min="23" max="23" width="25.83203125" style="160" customWidth="1"/>
    <col min="24" max="25" width="25.83203125" style="2" customWidth="1"/>
    <col min="26" max="26" width="25.83203125" customWidth="1"/>
    <col min="27" max="27" width="5.33203125" customWidth="1"/>
  </cols>
  <sheetData>
    <row r="1" spans="2:27" s="3" customFormat="1" ht="15">
      <c r="I1" s="426"/>
      <c r="W1" s="426"/>
    </row>
    <row r="2" spans="2:27" ht="21" customHeight="1">
      <c r="B2" s="697" t="s">
        <v>387</v>
      </c>
      <c r="C2" s="697"/>
      <c r="D2" s="697"/>
      <c r="E2" s="697"/>
      <c r="F2" s="697"/>
      <c r="G2" s="697"/>
      <c r="H2" s="697"/>
      <c r="I2" s="697"/>
      <c r="J2" s="697"/>
      <c r="K2" s="697"/>
      <c r="L2" s="697"/>
      <c r="M2" s="697"/>
      <c r="N2" s="697"/>
      <c r="O2" s="697"/>
      <c r="P2" s="697"/>
      <c r="Q2" s="697"/>
      <c r="R2" s="697"/>
      <c r="S2" s="697"/>
      <c r="T2" s="697"/>
      <c r="U2" s="697"/>
      <c r="V2" s="697"/>
      <c r="W2" s="697"/>
      <c r="X2" s="697"/>
      <c r="Y2" s="697"/>
      <c r="Z2" s="697"/>
    </row>
    <row r="3" spans="2:27" ht="21" customHeight="1">
      <c r="B3" s="700" t="s">
        <v>8</v>
      </c>
      <c r="C3" s="698" t="str">
        <f>'Prices_Yields&amp;SeedInputs'!B5</f>
        <v>SW Winter Wheat after Spring Legume</v>
      </c>
      <c r="D3" s="698" t="str">
        <f>'Prices_Yields&amp;SeedInputs'!B6</f>
        <v>SW Winter Wheat after Forage Crop</v>
      </c>
      <c r="E3" s="698" t="str">
        <f>'Prices_Yields&amp;SeedInputs'!B7</f>
        <v>DN Spring Wheat after Spring Legume</v>
      </c>
      <c r="F3" s="698" t="str">
        <f>'Prices_Yields&amp;SeedInputs'!B8</f>
        <v>DN Spring Wheat after Forage Crop</v>
      </c>
      <c r="G3" s="698" t="str">
        <f>'Prices_Yields&amp;SeedInputs'!B9</f>
        <v>DN Spring Wheat after Winter Crop</v>
      </c>
      <c r="H3" s="698" t="str">
        <f>'Prices_Yields&amp;SeedInputs'!B10</f>
        <v>Chickpea after Forage Crop</v>
      </c>
      <c r="I3" s="698" t="str">
        <f>'Prices_Yields&amp;SeedInputs'!B11</f>
        <v>Chickpea after Cereal</v>
      </c>
      <c r="J3" s="698" t="str">
        <f>'Prices_Yields&amp;SeedInputs'!B12</f>
        <v>Spring Pea after Cereal</v>
      </c>
      <c r="K3" s="698" t="str">
        <f>'Prices_Yields&amp;SeedInputs'!B13</f>
        <v>Forage Crop-St. John Area</v>
      </c>
      <c r="L3" s="698" t="str">
        <f>'Prices_Yields&amp;SeedInputs'!B14</f>
        <v>Forage Crop-Genesee Area</v>
      </c>
      <c r="M3" s="702" t="str">
        <f>'Prices_Yields&amp;SeedInputs'!B15</f>
        <v>Livestock Grazing</v>
      </c>
      <c r="N3" s="698" t="str">
        <f>'Prices_Yields&amp;SeedInputs'!B16</f>
        <v>SW Winter Wheat after Cereal</v>
      </c>
      <c r="O3" s="698" t="str">
        <f>'Prices_Yields&amp;SeedInputs'!B17</f>
        <v>SW Winter Wheat after Fallow</v>
      </c>
      <c r="P3" s="698" t="str">
        <f>'Prices_Yields&amp;SeedInputs'!B18</f>
        <v>Chem-Fallow</v>
      </c>
      <c r="Q3" s="698" t="str">
        <f>'Prices_Yields&amp;SeedInputs'!B19</f>
        <v>Flex-Fallow</v>
      </c>
      <c r="R3" s="698" t="str">
        <f>'Prices_Yields&amp;SeedInputs'!B20</f>
        <v>Spring Barley</v>
      </c>
      <c r="S3" s="698" t="str">
        <f>'Prices_Yields&amp;SeedInputs'!B21</f>
        <v>Roundup Ready Spring Canola</v>
      </c>
      <c r="T3" s="698" t="str">
        <f>'Prices_Yields&amp;SeedInputs'!B22</f>
        <v>Spring Canola</v>
      </c>
      <c r="U3" s="698" t="str">
        <f>'Prices_Yields&amp;SeedInputs'!B23</f>
        <v>Spring Lentils</v>
      </c>
      <c r="V3" s="698" t="str">
        <f>'Prices_Yields&amp;SeedInputs'!B24</f>
        <v>SW Spring Wheat</v>
      </c>
      <c r="W3" s="698" t="str">
        <f>'Prices_Yields&amp;SeedInputs'!B25</f>
        <v>HR Winter Wheat</v>
      </c>
      <c r="X3" s="698" t="str">
        <f>'Prices_Yields&amp;SeedInputs'!B26</f>
        <v>Winter Pea</v>
      </c>
      <c r="Y3" s="698" t="str">
        <f>'Prices_Yields&amp;SeedInputs'!B27</f>
        <v>Winter Canola</v>
      </c>
      <c r="Z3" s="698" t="str">
        <f>'Prices_Yields&amp;SeedInputs'!B28</f>
        <v>Forage Crop-Soil Builder Blend</v>
      </c>
    </row>
    <row r="4" spans="2:27" ht="21" customHeight="1">
      <c r="B4" s="701"/>
      <c r="C4" s="699"/>
      <c r="D4" s="699"/>
      <c r="E4" s="699"/>
      <c r="F4" s="699"/>
      <c r="G4" s="699"/>
      <c r="H4" s="699"/>
      <c r="I4" s="699"/>
      <c r="J4" s="699"/>
      <c r="K4" s="699"/>
      <c r="L4" s="699"/>
      <c r="M4" s="699"/>
      <c r="N4" s="699"/>
      <c r="O4" s="699"/>
      <c r="P4" s="699"/>
      <c r="Q4" s="699"/>
      <c r="R4" s="699"/>
      <c r="S4" s="699"/>
      <c r="T4" s="699"/>
      <c r="U4" s="699"/>
      <c r="V4" s="699"/>
      <c r="W4" s="699"/>
      <c r="X4" s="699"/>
      <c r="Y4" s="699"/>
      <c r="Z4" s="699"/>
    </row>
    <row r="5" spans="2:27" ht="21" customHeight="1">
      <c r="B5" s="217" t="s">
        <v>7</v>
      </c>
      <c r="C5" s="268" t="s">
        <v>9</v>
      </c>
      <c r="D5" s="268" t="s">
        <v>9</v>
      </c>
      <c r="E5" s="268" t="s">
        <v>9</v>
      </c>
      <c r="F5" s="268" t="s">
        <v>9</v>
      </c>
      <c r="G5" s="268" t="s">
        <v>9</v>
      </c>
      <c r="H5" s="268" t="s">
        <v>9</v>
      </c>
      <c r="I5" s="268" t="s">
        <v>9</v>
      </c>
      <c r="J5" s="268" t="s">
        <v>9</v>
      </c>
      <c r="K5" s="268" t="s">
        <v>9</v>
      </c>
      <c r="L5" s="268" t="s">
        <v>9</v>
      </c>
      <c r="M5" s="268" t="s">
        <v>9</v>
      </c>
      <c r="N5" s="268" t="s">
        <v>9</v>
      </c>
      <c r="O5" s="268" t="s">
        <v>9</v>
      </c>
      <c r="P5" s="268" t="s">
        <v>9</v>
      </c>
      <c r="Q5" s="268" t="s">
        <v>9</v>
      </c>
      <c r="R5" s="268" t="s">
        <v>9</v>
      </c>
      <c r="S5" s="268" t="s">
        <v>9</v>
      </c>
      <c r="T5" s="268" t="s">
        <v>9</v>
      </c>
      <c r="U5" s="268" t="s">
        <v>9</v>
      </c>
      <c r="V5" s="268" t="s">
        <v>9</v>
      </c>
      <c r="W5" s="268" t="s">
        <v>9</v>
      </c>
      <c r="X5" s="268" t="s">
        <v>9</v>
      </c>
      <c r="Y5" s="268" t="s">
        <v>9</v>
      </c>
      <c r="Z5" s="268" t="s">
        <v>9</v>
      </c>
    </row>
    <row r="6" spans="2:27" ht="21" customHeight="1">
      <c r="B6" s="107" t="str">
        <f>MachineAssumptions!B7</f>
        <v>Shredder</v>
      </c>
      <c r="C6" s="105">
        <v>0</v>
      </c>
      <c r="D6" s="105">
        <v>0</v>
      </c>
      <c r="E6" s="105">
        <v>0</v>
      </c>
      <c r="F6" s="105">
        <v>0</v>
      </c>
      <c r="G6" s="105">
        <v>0</v>
      </c>
      <c r="H6" s="105">
        <v>0</v>
      </c>
      <c r="I6" s="105">
        <v>0</v>
      </c>
      <c r="J6" s="105">
        <v>0</v>
      </c>
      <c r="K6" s="105">
        <v>0</v>
      </c>
      <c r="L6" s="105">
        <v>0</v>
      </c>
      <c r="M6" s="105">
        <v>0</v>
      </c>
      <c r="N6" s="105">
        <v>0</v>
      </c>
      <c r="O6" s="105">
        <v>0</v>
      </c>
      <c r="P6" s="105">
        <v>0</v>
      </c>
      <c r="Q6" s="105">
        <v>0</v>
      </c>
      <c r="R6" s="105">
        <v>0</v>
      </c>
      <c r="S6" s="105">
        <v>0</v>
      </c>
      <c r="T6" s="105">
        <v>0</v>
      </c>
      <c r="U6" s="105">
        <v>0</v>
      </c>
      <c r="V6" s="105">
        <v>0</v>
      </c>
      <c r="W6" s="105">
        <v>0</v>
      </c>
      <c r="X6" s="105">
        <v>0</v>
      </c>
      <c r="Y6" s="105">
        <v>0</v>
      </c>
      <c r="Z6" s="105">
        <v>0</v>
      </c>
    </row>
    <row r="7" spans="2:27" ht="21">
      <c r="B7" s="107" t="str">
        <f>MachineAssumptions!B8</f>
        <v>Harrow</v>
      </c>
      <c r="C7" s="105">
        <v>0</v>
      </c>
      <c r="D7" s="105">
        <v>0</v>
      </c>
      <c r="E7" s="105">
        <v>0</v>
      </c>
      <c r="F7" s="105">
        <v>0</v>
      </c>
      <c r="G7" s="105">
        <v>0</v>
      </c>
      <c r="H7" s="105">
        <v>0</v>
      </c>
      <c r="I7" s="105">
        <v>0</v>
      </c>
      <c r="J7" s="105">
        <v>0</v>
      </c>
      <c r="K7" s="105">
        <v>0</v>
      </c>
      <c r="L7" s="105">
        <v>0</v>
      </c>
      <c r="M7" s="105">
        <v>0</v>
      </c>
      <c r="N7" s="105">
        <v>0</v>
      </c>
      <c r="O7" s="105">
        <v>0</v>
      </c>
      <c r="P7" s="105">
        <v>0</v>
      </c>
      <c r="Q7" s="105">
        <v>0</v>
      </c>
      <c r="R7" s="105">
        <v>0</v>
      </c>
      <c r="S7" s="105">
        <v>0</v>
      </c>
      <c r="T7" s="105">
        <v>0</v>
      </c>
      <c r="U7" s="105">
        <v>0</v>
      </c>
      <c r="V7" s="105">
        <v>0</v>
      </c>
      <c r="W7" s="105">
        <v>0</v>
      </c>
      <c r="X7" s="105">
        <v>0</v>
      </c>
      <c r="Y7" s="105">
        <v>0</v>
      </c>
      <c r="Z7" s="105">
        <v>1</v>
      </c>
      <c r="AA7" s="83" t="s">
        <v>8</v>
      </c>
    </row>
    <row r="8" spans="2:27" ht="21">
      <c r="B8" s="107" t="str">
        <f>MachineAssumptions!B9</f>
        <v>Chisel plow</v>
      </c>
      <c r="C8" s="105">
        <v>0</v>
      </c>
      <c r="D8" s="105">
        <v>0</v>
      </c>
      <c r="E8" s="105">
        <v>0</v>
      </c>
      <c r="F8" s="105">
        <v>0</v>
      </c>
      <c r="G8" s="105">
        <v>0</v>
      </c>
      <c r="H8" s="105">
        <v>0</v>
      </c>
      <c r="I8" s="105">
        <v>0</v>
      </c>
      <c r="J8" s="105">
        <v>0</v>
      </c>
      <c r="K8" s="105">
        <v>0</v>
      </c>
      <c r="L8" s="105">
        <v>0</v>
      </c>
      <c r="M8" s="105">
        <v>0</v>
      </c>
      <c r="N8" s="105">
        <v>0</v>
      </c>
      <c r="O8" s="105">
        <v>0</v>
      </c>
      <c r="P8" s="105">
        <v>0</v>
      </c>
      <c r="Q8" s="105">
        <v>0</v>
      </c>
      <c r="R8" s="105">
        <v>0</v>
      </c>
      <c r="S8" s="105">
        <v>0</v>
      </c>
      <c r="T8" s="105">
        <v>0</v>
      </c>
      <c r="U8" s="105">
        <v>0</v>
      </c>
      <c r="V8" s="105">
        <v>0</v>
      </c>
      <c r="W8" s="105">
        <v>0</v>
      </c>
      <c r="X8" s="105">
        <v>0</v>
      </c>
      <c r="Y8" s="105">
        <v>0</v>
      </c>
      <c r="Z8" s="105">
        <v>0</v>
      </c>
    </row>
    <row r="9" spans="2:27" ht="21">
      <c r="B9" s="107" t="str">
        <f>MachineAssumptions!B10</f>
        <v>Moldboard plow</v>
      </c>
      <c r="C9" s="105">
        <v>0</v>
      </c>
      <c r="D9" s="105">
        <v>0</v>
      </c>
      <c r="E9" s="105">
        <v>0</v>
      </c>
      <c r="F9" s="105">
        <v>0</v>
      </c>
      <c r="G9" s="105">
        <v>0</v>
      </c>
      <c r="H9" s="105">
        <v>0</v>
      </c>
      <c r="I9" s="105">
        <v>0</v>
      </c>
      <c r="J9" s="105">
        <v>0</v>
      </c>
      <c r="K9" s="105">
        <v>0</v>
      </c>
      <c r="L9" s="105">
        <v>0</v>
      </c>
      <c r="M9" s="105">
        <v>0</v>
      </c>
      <c r="N9" s="105">
        <v>0</v>
      </c>
      <c r="O9" s="105">
        <v>0</v>
      </c>
      <c r="P9" s="105">
        <v>0</v>
      </c>
      <c r="Q9" s="105">
        <v>0</v>
      </c>
      <c r="R9" s="105">
        <v>0</v>
      </c>
      <c r="S9" s="105">
        <v>0</v>
      </c>
      <c r="T9" s="105">
        <v>0</v>
      </c>
      <c r="U9" s="105">
        <v>0</v>
      </c>
      <c r="V9" s="105">
        <v>0</v>
      </c>
      <c r="W9" s="105">
        <v>0</v>
      </c>
      <c r="X9" s="105">
        <v>0</v>
      </c>
      <c r="Y9" s="105">
        <v>0</v>
      </c>
      <c r="Z9" s="105">
        <v>0</v>
      </c>
    </row>
    <row r="10" spans="2:27" ht="21">
      <c r="B10" s="107" t="str">
        <f>MachineAssumptions!B11</f>
        <v>Cultivator</v>
      </c>
      <c r="C10" s="105">
        <v>0</v>
      </c>
      <c r="D10" s="105">
        <v>0</v>
      </c>
      <c r="E10" s="105">
        <v>0</v>
      </c>
      <c r="F10" s="105">
        <v>0</v>
      </c>
      <c r="G10" s="105">
        <v>0</v>
      </c>
      <c r="H10" s="105">
        <v>0</v>
      </c>
      <c r="I10" s="105">
        <v>0</v>
      </c>
      <c r="J10" s="105">
        <v>0</v>
      </c>
      <c r="K10" s="105">
        <v>0</v>
      </c>
      <c r="L10" s="105">
        <v>0</v>
      </c>
      <c r="M10" s="105">
        <v>0</v>
      </c>
      <c r="N10" s="105">
        <v>0</v>
      </c>
      <c r="O10" s="105">
        <v>0</v>
      </c>
      <c r="P10" s="105">
        <v>0</v>
      </c>
      <c r="Q10" s="105">
        <v>0</v>
      </c>
      <c r="R10" s="105">
        <v>0</v>
      </c>
      <c r="S10" s="105">
        <v>0</v>
      </c>
      <c r="T10" s="105">
        <v>0</v>
      </c>
      <c r="U10" s="105">
        <v>0</v>
      </c>
      <c r="V10" s="105">
        <v>0</v>
      </c>
      <c r="W10" s="105">
        <v>0</v>
      </c>
      <c r="X10" s="105">
        <v>0</v>
      </c>
      <c r="Y10" s="105">
        <v>0</v>
      </c>
      <c r="Z10" s="105">
        <v>0</v>
      </c>
    </row>
    <row r="11" spans="2:27" ht="21">
      <c r="B11" s="107" t="str">
        <f>MachineAssumptions!B12</f>
        <v>Cultiweeder</v>
      </c>
      <c r="C11" s="105">
        <v>0</v>
      </c>
      <c r="D11" s="105">
        <v>0</v>
      </c>
      <c r="E11" s="105">
        <v>0</v>
      </c>
      <c r="F11" s="105">
        <v>0</v>
      </c>
      <c r="G11" s="105">
        <v>0</v>
      </c>
      <c r="H11" s="105">
        <v>0</v>
      </c>
      <c r="I11" s="105">
        <v>0</v>
      </c>
      <c r="J11" s="105">
        <v>0</v>
      </c>
      <c r="K11" s="105">
        <v>0</v>
      </c>
      <c r="L11" s="105">
        <v>0</v>
      </c>
      <c r="M11" s="105">
        <v>0</v>
      </c>
      <c r="N11" s="105">
        <v>0</v>
      </c>
      <c r="O11" s="105">
        <v>0</v>
      </c>
      <c r="P11" s="105">
        <v>0</v>
      </c>
      <c r="Q11" s="105">
        <v>0</v>
      </c>
      <c r="R11" s="105">
        <v>0</v>
      </c>
      <c r="S11" s="105">
        <v>0</v>
      </c>
      <c r="T11" s="105">
        <v>0</v>
      </c>
      <c r="U11" s="105">
        <v>0</v>
      </c>
      <c r="V11" s="105">
        <v>0</v>
      </c>
      <c r="W11" s="105">
        <v>0</v>
      </c>
      <c r="X11" s="105">
        <v>0</v>
      </c>
      <c r="Y11" s="105">
        <v>0</v>
      </c>
      <c r="Z11" s="105">
        <v>0</v>
      </c>
    </row>
    <row r="12" spans="2:27" ht="21">
      <c r="B12" s="107" t="str">
        <f>MachineAssumptions!B13</f>
        <v>Drill</v>
      </c>
      <c r="C12" s="105">
        <v>1</v>
      </c>
      <c r="D12" s="105">
        <v>1</v>
      </c>
      <c r="E12" s="105">
        <v>1</v>
      </c>
      <c r="F12" s="105">
        <v>1</v>
      </c>
      <c r="G12" s="105">
        <v>1</v>
      </c>
      <c r="H12" s="105">
        <v>1</v>
      </c>
      <c r="I12" s="105">
        <v>1</v>
      </c>
      <c r="J12" s="105">
        <v>1</v>
      </c>
      <c r="K12" s="105">
        <v>1</v>
      </c>
      <c r="L12" s="105">
        <v>1</v>
      </c>
      <c r="M12" s="105">
        <v>0</v>
      </c>
      <c r="N12" s="105">
        <v>1</v>
      </c>
      <c r="O12" s="105">
        <v>1</v>
      </c>
      <c r="P12" s="105">
        <v>0</v>
      </c>
      <c r="Q12" s="105">
        <v>0</v>
      </c>
      <c r="R12" s="105">
        <v>1</v>
      </c>
      <c r="S12" s="105">
        <v>1</v>
      </c>
      <c r="T12" s="105">
        <v>1</v>
      </c>
      <c r="U12" s="105">
        <v>1</v>
      </c>
      <c r="V12" s="105">
        <v>1</v>
      </c>
      <c r="W12" s="105">
        <v>1</v>
      </c>
      <c r="X12" s="105">
        <v>1</v>
      </c>
      <c r="Y12" s="105">
        <v>1</v>
      </c>
      <c r="Z12" s="105">
        <v>1</v>
      </c>
    </row>
    <row r="13" spans="2:27" ht="21">
      <c r="B13" s="107" t="str">
        <f>MachineAssumptions!B14</f>
        <v>Combine w/ 36' header</v>
      </c>
      <c r="C13" s="105">
        <v>1</v>
      </c>
      <c r="D13" s="105">
        <v>1</v>
      </c>
      <c r="E13" s="105">
        <v>1</v>
      </c>
      <c r="F13" s="105">
        <v>1</v>
      </c>
      <c r="G13" s="105">
        <v>1</v>
      </c>
      <c r="H13" s="105">
        <v>1</v>
      </c>
      <c r="I13" s="105">
        <v>1</v>
      </c>
      <c r="J13" s="105">
        <v>1</v>
      </c>
      <c r="K13" s="105">
        <v>0</v>
      </c>
      <c r="L13" s="105">
        <v>0</v>
      </c>
      <c r="M13" s="105">
        <v>0</v>
      </c>
      <c r="N13" s="105">
        <v>1</v>
      </c>
      <c r="O13" s="105">
        <v>1</v>
      </c>
      <c r="P13" s="105">
        <v>0</v>
      </c>
      <c r="Q13" s="105">
        <v>0</v>
      </c>
      <c r="R13" s="105">
        <v>1</v>
      </c>
      <c r="S13" s="105">
        <v>1</v>
      </c>
      <c r="T13" s="105">
        <v>1</v>
      </c>
      <c r="U13" s="105">
        <v>1</v>
      </c>
      <c r="V13" s="105">
        <v>1</v>
      </c>
      <c r="W13" s="105">
        <v>1</v>
      </c>
      <c r="X13" s="105">
        <v>1</v>
      </c>
      <c r="Y13" s="105">
        <v>1</v>
      </c>
      <c r="Z13" s="105">
        <v>0</v>
      </c>
    </row>
    <row r="14" spans="2:27" ht="21">
      <c r="B14" s="107" t="str">
        <f>MachineAssumptions!B16</f>
        <v>Fertilizer Spreader</v>
      </c>
      <c r="C14" s="105">
        <v>0</v>
      </c>
      <c r="D14" s="105">
        <v>0</v>
      </c>
      <c r="E14" s="105">
        <v>0</v>
      </c>
      <c r="F14" s="105">
        <v>0</v>
      </c>
      <c r="G14" s="105">
        <v>0</v>
      </c>
      <c r="H14" s="105">
        <v>0</v>
      </c>
      <c r="I14" s="105">
        <v>0</v>
      </c>
      <c r="J14" s="105">
        <v>0</v>
      </c>
      <c r="K14" s="105">
        <v>0</v>
      </c>
      <c r="L14" s="105">
        <v>0</v>
      </c>
      <c r="M14" s="105">
        <v>0</v>
      </c>
      <c r="N14" s="105">
        <v>0</v>
      </c>
      <c r="O14" s="105">
        <v>0</v>
      </c>
      <c r="P14" s="105">
        <v>0</v>
      </c>
      <c r="Q14" s="105">
        <v>0</v>
      </c>
      <c r="R14" s="105">
        <v>0</v>
      </c>
      <c r="S14" s="105">
        <v>0</v>
      </c>
      <c r="T14" s="105">
        <v>0</v>
      </c>
      <c r="U14" s="105">
        <v>0</v>
      </c>
      <c r="V14" s="105">
        <v>0</v>
      </c>
      <c r="W14" s="105">
        <v>0</v>
      </c>
      <c r="X14" s="105">
        <v>0</v>
      </c>
      <c r="Y14" s="105">
        <v>0</v>
      </c>
      <c r="Z14" s="105">
        <v>0</v>
      </c>
    </row>
    <row r="15" spans="2:27" ht="21">
      <c r="B15" s="107" t="str">
        <f>MachineAssumptions!B17</f>
        <v>Fertilizer tanks and pump</v>
      </c>
      <c r="C15" s="105">
        <v>1</v>
      </c>
      <c r="D15" s="105">
        <v>1</v>
      </c>
      <c r="E15" s="105">
        <v>1</v>
      </c>
      <c r="F15" s="105">
        <v>1</v>
      </c>
      <c r="G15" s="105">
        <v>1</v>
      </c>
      <c r="H15" s="105">
        <v>1</v>
      </c>
      <c r="I15" s="105">
        <v>1</v>
      </c>
      <c r="J15" s="105">
        <v>1</v>
      </c>
      <c r="K15" s="105">
        <v>0</v>
      </c>
      <c r="L15" s="105">
        <v>0</v>
      </c>
      <c r="M15" s="105">
        <v>0</v>
      </c>
      <c r="N15" s="105">
        <v>1</v>
      </c>
      <c r="O15" s="105">
        <v>1</v>
      </c>
      <c r="P15" s="105">
        <v>0</v>
      </c>
      <c r="Q15" s="105">
        <v>0</v>
      </c>
      <c r="R15" s="105">
        <v>1</v>
      </c>
      <c r="S15" s="105">
        <v>1</v>
      </c>
      <c r="T15" s="105">
        <v>1</v>
      </c>
      <c r="U15" s="105">
        <v>1</v>
      </c>
      <c r="V15" s="105">
        <v>1</v>
      </c>
      <c r="W15" s="105">
        <v>1</v>
      </c>
      <c r="X15" s="105">
        <v>1</v>
      </c>
      <c r="Y15" s="105">
        <v>1</v>
      </c>
      <c r="Z15" s="105">
        <v>0</v>
      </c>
    </row>
    <row r="16" spans="2:27" ht="21">
      <c r="B16" s="439" t="str">
        <f>MachineAssumptions!B18</f>
        <v>Boom sprayer</v>
      </c>
      <c r="C16" s="106">
        <v>3</v>
      </c>
      <c r="D16" s="106">
        <v>3</v>
      </c>
      <c r="E16" s="106">
        <v>3</v>
      </c>
      <c r="F16" s="106">
        <v>3</v>
      </c>
      <c r="G16" s="106">
        <v>3</v>
      </c>
      <c r="H16" s="106">
        <v>2</v>
      </c>
      <c r="I16" s="106">
        <v>2</v>
      </c>
      <c r="J16" s="106">
        <v>2</v>
      </c>
      <c r="K16" s="106">
        <v>1</v>
      </c>
      <c r="L16" s="106">
        <v>1</v>
      </c>
      <c r="M16" s="106">
        <v>0</v>
      </c>
      <c r="N16" s="106">
        <v>3</v>
      </c>
      <c r="O16" s="106">
        <v>3</v>
      </c>
      <c r="P16" s="106">
        <v>1</v>
      </c>
      <c r="Q16" s="106">
        <v>1</v>
      </c>
      <c r="R16" s="106">
        <v>3</v>
      </c>
      <c r="S16" s="106">
        <v>3</v>
      </c>
      <c r="T16" s="106">
        <v>2</v>
      </c>
      <c r="U16" s="106">
        <v>2</v>
      </c>
      <c r="V16" s="106">
        <v>3</v>
      </c>
      <c r="W16" s="106">
        <v>3</v>
      </c>
      <c r="X16" s="106">
        <v>2</v>
      </c>
      <c r="Y16" s="106">
        <v>3</v>
      </c>
      <c r="Z16" s="106">
        <v>1</v>
      </c>
    </row>
    <row r="17" spans="9:23" s="3" customFormat="1" ht="15">
      <c r="I17" s="426"/>
      <c r="W17" s="426"/>
    </row>
    <row r="18" spans="9:23" s="3" customFormat="1" ht="22" customHeight="1">
      <c r="I18" s="426"/>
      <c r="W18" s="426"/>
    </row>
    <row r="19" spans="9:23" s="3" customFormat="1" ht="20" customHeight="1">
      <c r="I19" s="426"/>
      <c r="W19" s="426"/>
    </row>
    <row r="20" spans="9:23" s="3" customFormat="1" ht="15">
      <c r="I20" s="426"/>
      <c r="W20" s="426"/>
    </row>
    <row r="21" spans="9:23" s="3" customFormat="1" ht="21" customHeight="1">
      <c r="I21" s="426"/>
      <c r="W21" s="426"/>
    </row>
    <row r="22" spans="9:23" s="3" customFormat="1" ht="15">
      <c r="I22" s="426"/>
      <c r="W22" s="426"/>
    </row>
    <row r="23" spans="9:23" s="3" customFormat="1" ht="15">
      <c r="I23" s="426"/>
      <c r="W23" s="426"/>
    </row>
    <row r="24" spans="9:23" s="3" customFormat="1" ht="15">
      <c r="I24" s="426"/>
      <c r="W24" s="426"/>
    </row>
    <row r="25" spans="9:23" s="3" customFormat="1" ht="15">
      <c r="I25" s="426"/>
      <c r="W25" s="426"/>
    </row>
    <row r="26" spans="9:23" s="3" customFormat="1" ht="15">
      <c r="I26" s="426"/>
      <c r="W26" s="426"/>
    </row>
    <row r="27" spans="9:23" s="3" customFormat="1" ht="15">
      <c r="I27" s="426"/>
      <c r="W27" s="426"/>
    </row>
    <row r="28" spans="9:23" s="3" customFormat="1" ht="15">
      <c r="I28" s="426"/>
      <c r="W28" s="426"/>
    </row>
    <row r="29" spans="9:23" s="3" customFormat="1" ht="15">
      <c r="I29" s="426"/>
      <c r="W29" s="426"/>
    </row>
    <row r="30" spans="9:23" s="3" customFormat="1" ht="15">
      <c r="I30" s="426"/>
      <c r="W30" s="426"/>
    </row>
    <row r="31" spans="9:23" s="3" customFormat="1" ht="15">
      <c r="I31" s="426"/>
      <c r="W31" s="426"/>
    </row>
    <row r="32" spans="9:23" s="3" customFormat="1" ht="15">
      <c r="I32" s="426"/>
      <c r="W32" s="426"/>
    </row>
    <row r="33" spans="9:23" s="3" customFormat="1" ht="15">
      <c r="I33" s="426"/>
      <c r="W33" s="426"/>
    </row>
    <row r="34" spans="9:23" s="3" customFormat="1" ht="15">
      <c r="I34" s="426"/>
      <c r="W34" s="426"/>
    </row>
    <row r="35" spans="9:23" s="3" customFormat="1" ht="15">
      <c r="I35" s="426"/>
      <c r="W35" s="426"/>
    </row>
    <row r="36" spans="9:23" s="3" customFormat="1" ht="15">
      <c r="I36" s="426"/>
      <c r="W36" s="426"/>
    </row>
    <row r="37" spans="9:23" s="3" customFormat="1" ht="15">
      <c r="I37" s="426"/>
      <c r="W37" s="426"/>
    </row>
    <row r="38" spans="9:23" s="3" customFormat="1" ht="15">
      <c r="I38" s="426"/>
      <c r="W38" s="426"/>
    </row>
    <row r="39" spans="9:23" s="3" customFormat="1" ht="15">
      <c r="I39" s="426"/>
      <c r="W39" s="426"/>
    </row>
    <row r="40" spans="9:23" s="3" customFormat="1" ht="15">
      <c r="I40" s="426"/>
      <c r="W40" s="426"/>
    </row>
    <row r="41" spans="9:23" s="3" customFormat="1" ht="15">
      <c r="I41" s="426"/>
      <c r="W41" s="426"/>
    </row>
    <row r="42" spans="9:23" s="3" customFormat="1" ht="15">
      <c r="I42" s="426"/>
      <c r="W42" s="426"/>
    </row>
    <row r="43" spans="9:23" s="3" customFormat="1" ht="15">
      <c r="I43" s="426"/>
      <c r="W43" s="426"/>
    </row>
    <row r="44" spans="9:23" s="3" customFormat="1" ht="15">
      <c r="I44" s="426"/>
      <c r="W44" s="426"/>
    </row>
    <row r="45" spans="9:23" s="3" customFormat="1" ht="15">
      <c r="I45" s="426"/>
      <c r="W45" s="426"/>
    </row>
    <row r="46" spans="9:23" s="3" customFormat="1" ht="15">
      <c r="I46" s="426"/>
      <c r="W46" s="426"/>
    </row>
    <row r="47" spans="9:23" s="3" customFormat="1" ht="15">
      <c r="I47" s="426"/>
      <c r="W47" s="426"/>
    </row>
    <row r="48" spans="9:23" s="3" customFormat="1" ht="15">
      <c r="I48" s="426"/>
      <c r="W48" s="426"/>
    </row>
    <row r="49" spans="1:25" s="3" customFormat="1" ht="15">
      <c r="I49" s="426"/>
      <c r="W49" s="426"/>
    </row>
    <row r="50" spans="1:25" s="3" customFormat="1" ht="15">
      <c r="I50" s="426"/>
      <c r="W50" s="426"/>
    </row>
    <row r="51" spans="1:25" s="3" customFormat="1" ht="15">
      <c r="I51" s="426"/>
      <c r="W51" s="426"/>
    </row>
    <row r="52" spans="1:25" s="3" customFormat="1" ht="15">
      <c r="I52" s="426"/>
      <c r="W52" s="426"/>
    </row>
    <row r="53" spans="1:25" s="3" customFormat="1">
      <c r="H53" s="5"/>
      <c r="I53" s="454"/>
      <c r="J53" s="5"/>
      <c r="S53" s="5"/>
      <c r="T53" s="5"/>
      <c r="U53" s="5"/>
      <c r="W53" s="426"/>
      <c r="X53" s="5"/>
      <c r="Y53" s="5"/>
    </row>
    <row r="61" spans="1:25">
      <c r="B61" s="2"/>
    </row>
    <row r="62" spans="1:25">
      <c r="A62" s="2"/>
      <c r="B62" s="2"/>
    </row>
    <row r="63" spans="1:25">
      <c r="A63" s="2"/>
      <c r="B63" s="2"/>
    </row>
    <row r="64" spans="1:25" ht="21" customHeight="1">
      <c r="A64" s="2"/>
      <c r="B64" s="2"/>
    </row>
    <row r="65" spans="1:2">
      <c r="A65" s="2"/>
      <c r="B65" s="2"/>
    </row>
    <row r="66" spans="1:2">
      <c r="A66" s="2"/>
      <c r="B66" s="2"/>
    </row>
    <row r="67" spans="1:2">
      <c r="A67" s="2"/>
      <c r="B67" s="2"/>
    </row>
    <row r="68" spans="1:2">
      <c r="A68" s="2"/>
    </row>
  </sheetData>
  <sheetProtection algorithmName="SHA-512" hashValue="7Yl4VDURKLur5rEu0g46DRmiMlVGk1VJRYCYo9h9+3sniUOPZjmH2kwIgGiCeZUMVbfALyZi5bKLkcX6fNs6sg==" saltValue="94aAwUEqa8etcJi9aZF7CQ==" spinCount="100000" sheet="1" objects="1" scenarios="1"/>
  <mergeCells count="26">
    <mergeCell ref="X3:X4"/>
    <mergeCell ref="S3:S4"/>
    <mergeCell ref="Y3:Y4"/>
    <mergeCell ref="L3:L4"/>
    <mergeCell ref="N3:N4"/>
    <mergeCell ref="C3:C4"/>
    <mergeCell ref="D3:D4"/>
    <mergeCell ref="E3:E4"/>
    <mergeCell ref="Q3:Q4"/>
    <mergeCell ref="J3:J4"/>
    <mergeCell ref="B2:Z2"/>
    <mergeCell ref="O3:O4"/>
    <mergeCell ref="B3:B4"/>
    <mergeCell ref="V3:V4"/>
    <mergeCell ref="G3:G4"/>
    <mergeCell ref="W3:W4"/>
    <mergeCell ref="R3:R4"/>
    <mergeCell ref="P3:P4"/>
    <mergeCell ref="H3:H4"/>
    <mergeCell ref="I3:I4"/>
    <mergeCell ref="U3:U4"/>
    <mergeCell ref="T3:T4"/>
    <mergeCell ref="F3:F4"/>
    <mergeCell ref="Z3:Z4"/>
    <mergeCell ref="K3:K4"/>
    <mergeCell ref="M3:M4"/>
  </mergeCells>
  <pageMargins left="0.7" right="0.7" top="0.75" bottom="0.75" header="0.3" footer="0.3"/>
  <pageSetup scale="27" fitToHeight="2" orientation="landscape" horizontalDpi="360" verticalDpi="360" r:id="rId1"/>
  <ignoredErrors>
    <ignoredError sqref="B6:B1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B201"/>
  <sheetViews>
    <sheetView zoomScale="110" zoomScaleNormal="110" workbookViewId="0">
      <pane xSplit="3" ySplit="4" topLeftCell="D5" activePane="bottomRight" state="frozen"/>
      <selection activeCell="AX5" sqref="AX5"/>
      <selection pane="topRight" activeCell="AX5" sqref="AX5"/>
      <selection pane="bottomLeft" activeCell="AX5" sqref="AX5"/>
      <selection pane="bottomRight" activeCell="B2" sqref="B2:AA2"/>
    </sheetView>
  </sheetViews>
  <sheetFormatPr baseColWidth="10" defaultColWidth="11.5" defaultRowHeight="15"/>
  <cols>
    <col min="1" max="1" width="3.83203125" style="3" customWidth="1"/>
    <col min="2" max="2" width="47.6640625" customWidth="1"/>
    <col min="3" max="3" width="14.6640625" customWidth="1"/>
    <col min="4" max="6" width="25.83203125" customWidth="1"/>
    <col min="7" max="7" width="25.83203125" style="186" customWidth="1"/>
    <col min="8" max="9" width="25.83203125" customWidth="1"/>
    <col min="10" max="10" width="25.83203125" style="186" customWidth="1"/>
    <col min="11" max="19" width="25.83203125" customWidth="1"/>
    <col min="20" max="22" width="25.83203125" style="186" customWidth="1"/>
    <col min="23" max="23" width="25.83203125" customWidth="1"/>
    <col min="24" max="24" width="25.83203125" style="160" customWidth="1"/>
    <col min="25" max="25" width="25.83203125" customWidth="1"/>
    <col min="26" max="26" width="25.83203125" style="186" customWidth="1"/>
    <col min="27" max="27" width="25.83203125" customWidth="1"/>
    <col min="28" max="28" width="11.5" style="3" customWidth="1"/>
    <col min="29" max="42" width="11.5" customWidth="1"/>
  </cols>
  <sheetData>
    <row r="1" spans="1:28" s="3" customFormat="1">
      <c r="G1" s="455"/>
      <c r="J1" s="455"/>
      <c r="T1" s="455"/>
      <c r="U1" s="455"/>
      <c r="V1" s="455"/>
      <c r="X1" s="426"/>
      <c r="Z1" s="455"/>
    </row>
    <row r="2" spans="1:28" ht="21" customHeight="1">
      <c r="B2" s="707" t="s">
        <v>389</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row>
    <row r="3" spans="1:28" ht="21" customHeight="1">
      <c r="B3" s="703"/>
      <c r="C3" s="705" t="s">
        <v>2</v>
      </c>
      <c r="D3" s="698" t="str">
        <f>'Prices_Yields&amp;SeedInputs'!B5</f>
        <v>SW Winter Wheat after Spring Legume</v>
      </c>
      <c r="E3" s="698" t="str">
        <f>'Prices_Yields&amp;SeedInputs'!B6</f>
        <v>SW Winter Wheat after Forage Crop</v>
      </c>
      <c r="F3" s="698" t="str">
        <f>'Prices_Yields&amp;SeedInputs'!B7</f>
        <v>DN Spring Wheat after Spring Legume</v>
      </c>
      <c r="G3" s="698" t="str">
        <f>'Prices_Yields&amp;SeedInputs'!B8</f>
        <v>DN Spring Wheat after Forage Crop</v>
      </c>
      <c r="H3" s="698" t="str">
        <f>'Prices_Yields&amp;SeedInputs'!B9</f>
        <v>DN Spring Wheat after Winter Crop</v>
      </c>
      <c r="I3" s="698" t="str">
        <f>'Prices_Yields&amp;SeedInputs'!B10</f>
        <v>Chickpea after Forage Crop</v>
      </c>
      <c r="J3" s="698" t="str">
        <f>'Prices_Yields&amp;SeedInputs'!B11</f>
        <v>Chickpea after Cereal</v>
      </c>
      <c r="K3" s="698" t="str">
        <f>'Prices_Yields&amp;SeedInputs'!B12</f>
        <v>Spring Pea after Cereal</v>
      </c>
      <c r="L3" s="698" t="str">
        <f>'Prices_Yields&amp;SeedInputs'!B13</f>
        <v>Forage Crop-St. John Area</v>
      </c>
      <c r="M3" s="698" t="str">
        <f>'Prices_Yields&amp;SeedInputs'!B14</f>
        <v>Forage Crop-Genesee Area</v>
      </c>
      <c r="N3" s="698" t="str">
        <f>'Prices_Yields&amp;SeedInputs'!B15</f>
        <v>Livestock Grazing</v>
      </c>
      <c r="O3" s="698" t="str">
        <f>'Prices_Yields&amp;SeedInputs'!B16</f>
        <v>SW Winter Wheat after Cereal</v>
      </c>
      <c r="P3" s="698" t="str">
        <f>'Prices_Yields&amp;SeedInputs'!B17</f>
        <v>SW Winter Wheat after Fallow</v>
      </c>
      <c r="Q3" s="698" t="str">
        <f>'Prices_Yields&amp;SeedInputs'!B18</f>
        <v>Chem-Fallow</v>
      </c>
      <c r="R3" s="698" t="str">
        <f>'Prices_Yields&amp;SeedInputs'!B19</f>
        <v>Flex-Fallow</v>
      </c>
      <c r="S3" s="698" t="str">
        <f>'Prices_Yields&amp;SeedInputs'!B20</f>
        <v>Spring Barley</v>
      </c>
      <c r="T3" s="698" t="str">
        <f>'Prices_Yields&amp;SeedInputs'!B21</f>
        <v>Roundup Ready Spring Canola</v>
      </c>
      <c r="U3" s="698" t="str">
        <f>'Prices_Yields&amp;SeedInputs'!B22</f>
        <v>Spring Canola</v>
      </c>
      <c r="V3" s="698" t="str">
        <f>'Prices_Yields&amp;SeedInputs'!B23</f>
        <v>Spring Lentils</v>
      </c>
      <c r="W3" s="698" t="str">
        <f>'Prices_Yields&amp;SeedInputs'!B24</f>
        <v>SW Spring Wheat</v>
      </c>
      <c r="X3" s="698" t="str">
        <f>'Prices_Yields&amp;SeedInputs'!B25</f>
        <v>HR Winter Wheat</v>
      </c>
      <c r="Y3" s="698" t="str">
        <f>'Prices_Yields&amp;SeedInputs'!B26</f>
        <v>Winter Pea</v>
      </c>
      <c r="Z3" s="698" t="str">
        <f>'Prices_Yields&amp;SeedInputs'!B27</f>
        <v>Winter Canola</v>
      </c>
      <c r="AA3" s="698" t="str">
        <f>'Prices_Yields&amp;SeedInputs'!B28</f>
        <v>Forage Crop-Soil Builder Blend</v>
      </c>
      <c r="AB3"/>
    </row>
    <row r="4" spans="1:28" ht="21" customHeight="1">
      <c r="B4" s="704"/>
      <c r="C4" s="706"/>
      <c r="D4" s="699"/>
      <c r="E4" s="699"/>
      <c r="F4" s="699"/>
      <c r="G4" s="699"/>
      <c r="H4" s="699"/>
      <c r="I4" s="699"/>
      <c r="J4" s="699"/>
      <c r="K4" s="699"/>
      <c r="L4" s="699"/>
      <c r="M4" s="699"/>
      <c r="N4" s="699"/>
      <c r="O4" s="699"/>
      <c r="P4" s="699"/>
      <c r="Q4" s="699"/>
      <c r="R4" s="699"/>
      <c r="S4" s="699"/>
      <c r="T4" s="699"/>
      <c r="U4" s="699"/>
      <c r="V4" s="699"/>
      <c r="W4" s="699"/>
      <c r="X4" s="699"/>
      <c r="Y4" s="699"/>
      <c r="Z4" s="699"/>
      <c r="AA4" s="699"/>
      <c r="AB4"/>
    </row>
    <row r="5" spans="1:28" s="346" customFormat="1" ht="21" customHeight="1">
      <c r="A5" s="456"/>
      <c r="B5" s="347" t="s">
        <v>96</v>
      </c>
      <c r="C5" s="348" t="s">
        <v>245</v>
      </c>
      <c r="D5" s="332">
        <v>8.9499999999999993</v>
      </c>
      <c r="E5" s="332">
        <v>8.9499999999999993</v>
      </c>
      <c r="F5" s="332">
        <v>8.9499999999999993</v>
      </c>
      <c r="G5" s="332">
        <v>8.9499999999999993</v>
      </c>
      <c r="H5" s="332">
        <v>8.9499999999999993</v>
      </c>
      <c r="I5" s="332">
        <v>8.9499999999999993</v>
      </c>
      <c r="J5" s="332">
        <v>8.9499999999999993</v>
      </c>
      <c r="K5" s="332">
        <v>8.9499999999999993</v>
      </c>
      <c r="L5" s="332">
        <v>8.9499999999999993</v>
      </c>
      <c r="M5" s="332">
        <v>8.9499999999999993</v>
      </c>
      <c r="N5" s="332">
        <v>8.9499999999999993</v>
      </c>
      <c r="O5" s="332">
        <v>8.9499999999999993</v>
      </c>
      <c r="P5" s="332">
        <v>8.9499999999999993</v>
      </c>
      <c r="Q5" s="332">
        <v>8.9499999999999993</v>
      </c>
      <c r="R5" s="332">
        <v>8.9499999999999993</v>
      </c>
      <c r="S5" s="332">
        <v>8.9499999999999993</v>
      </c>
      <c r="T5" s="332">
        <v>8.9499999999999993</v>
      </c>
      <c r="U5" s="332">
        <v>8.9499999999999993</v>
      </c>
      <c r="V5" s="332">
        <v>8.9499999999999993</v>
      </c>
      <c r="W5" s="332">
        <v>8.9499999999999993</v>
      </c>
      <c r="X5" s="332">
        <v>8.9499999999999993</v>
      </c>
      <c r="Y5" s="332">
        <v>8.9499999999999993</v>
      </c>
      <c r="Z5" s="332">
        <v>8.9499999999999993</v>
      </c>
      <c r="AA5" s="332">
        <v>8.9499999999999993</v>
      </c>
    </row>
    <row r="6" spans="1:28" s="346" customFormat="1" ht="21" customHeight="1">
      <c r="A6" s="456"/>
      <c r="B6" s="349" t="s">
        <v>27</v>
      </c>
      <c r="C6" s="348" t="s">
        <v>41</v>
      </c>
      <c r="D6" s="350">
        <v>0</v>
      </c>
      <c r="E6" s="350">
        <v>0</v>
      </c>
      <c r="F6" s="350">
        <v>0</v>
      </c>
      <c r="G6" s="351">
        <v>1</v>
      </c>
      <c r="H6" s="350">
        <v>0</v>
      </c>
      <c r="I6" s="351">
        <v>1</v>
      </c>
      <c r="J6" s="351">
        <v>0</v>
      </c>
      <c r="K6" s="351">
        <v>1</v>
      </c>
      <c r="L6" s="350">
        <v>0</v>
      </c>
      <c r="M6" s="350">
        <v>0</v>
      </c>
      <c r="N6" s="350">
        <v>0</v>
      </c>
      <c r="O6" s="350">
        <v>0</v>
      </c>
      <c r="P6" s="350">
        <v>0</v>
      </c>
      <c r="Q6" s="351">
        <v>0</v>
      </c>
      <c r="R6" s="351">
        <v>0</v>
      </c>
      <c r="S6" s="350">
        <v>0</v>
      </c>
      <c r="T6" s="351">
        <v>2</v>
      </c>
      <c r="U6" s="351">
        <v>2</v>
      </c>
      <c r="V6" s="351">
        <v>1</v>
      </c>
      <c r="W6" s="350">
        <v>0</v>
      </c>
      <c r="X6" s="350">
        <v>0</v>
      </c>
      <c r="Y6" s="351">
        <v>1</v>
      </c>
      <c r="Z6" s="351">
        <v>2</v>
      </c>
      <c r="AA6" s="350">
        <v>0</v>
      </c>
    </row>
    <row r="7" spans="1:28" s="346" customFormat="1" ht="21">
      <c r="A7" s="456"/>
      <c r="B7" s="352" t="s">
        <v>248</v>
      </c>
      <c r="C7" s="348" t="s">
        <v>245</v>
      </c>
      <c r="D7" s="332">
        <v>8</v>
      </c>
      <c r="E7" s="332">
        <v>8</v>
      </c>
      <c r="F7" s="332">
        <v>8</v>
      </c>
      <c r="G7" s="332">
        <v>8</v>
      </c>
      <c r="H7" s="332">
        <v>8</v>
      </c>
      <c r="I7" s="332">
        <v>8</v>
      </c>
      <c r="J7" s="332">
        <v>8</v>
      </c>
      <c r="K7" s="332">
        <v>8</v>
      </c>
      <c r="L7" s="332">
        <v>8</v>
      </c>
      <c r="M7" s="332">
        <v>8</v>
      </c>
      <c r="N7" s="332">
        <v>8</v>
      </c>
      <c r="O7" s="332">
        <v>8</v>
      </c>
      <c r="P7" s="332">
        <v>8</v>
      </c>
      <c r="Q7" s="332">
        <v>8</v>
      </c>
      <c r="R7" s="332">
        <v>8</v>
      </c>
      <c r="S7" s="332">
        <v>8</v>
      </c>
      <c r="T7" s="332">
        <v>8</v>
      </c>
      <c r="U7" s="332">
        <v>8</v>
      </c>
      <c r="V7" s="332">
        <v>8</v>
      </c>
      <c r="W7" s="332">
        <v>8</v>
      </c>
      <c r="X7" s="332">
        <v>8</v>
      </c>
      <c r="Y7" s="332">
        <v>8</v>
      </c>
      <c r="Z7" s="332">
        <v>8</v>
      </c>
      <c r="AA7" s="332">
        <v>8</v>
      </c>
    </row>
    <row r="8" spans="1:28" s="346" customFormat="1" ht="21">
      <c r="A8" s="456"/>
      <c r="B8" s="353" t="s">
        <v>27</v>
      </c>
      <c r="C8" s="348" t="s">
        <v>41</v>
      </c>
      <c r="D8" s="350">
        <v>1</v>
      </c>
      <c r="E8" s="350">
        <v>1</v>
      </c>
      <c r="F8" s="350">
        <v>1</v>
      </c>
      <c r="G8" s="350">
        <v>0</v>
      </c>
      <c r="H8" s="350">
        <v>1</v>
      </c>
      <c r="I8" s="350">
        <v>0</v>
      </c>
      <c r="J8" s="350">
        <v>1</v>
      </c>
      <c r="K8" s="350">
        <v>0</v>
      </c>
      <c r="L8" s="350">
        <v>0</v>
      </c>
      <c r="M8" s="350">
        <v>0</v>
      </c>
      <c r="N8" s="350">
        <v>0</v>
      </c>
      <c r="O8" s="350">
        <v>1</v>
      </c>
      <c r="P8" s="350">
        <v>1</v>
      </c>
      <c r="Q8" s="350">
        <v>0</v>
      </c>
      <c r="R8" s="350">
        <v>0</v>
      </c>
      <c r="S8" s="350">
        <v>1</v>
      </c>
      <c r="T8" s="350">
        <v>0</v>
      </c>
      <c r="U8" s="350">
        <v>0</v>
      </c>
      <c r="V8" s="350">
        <v>0</v>
      </c>
      <c r="W8" s="350">
        <v>1</v>
      </c>
      <c r="X8" s="350">
        <v>1</v>
      </c>
      <c r="Y8" s="350">
        <v>0</v>
      </c>
      <c r="Z8" s="350">
        <v>0</v>
      </c>
      <c r="AA8" s="350">
        <v>0</v>
      </c>
    </row>
    <row r="9" spans="1:28" s="346" customFormat="1" ht="21">
      <c r="A9" s="456"/>
      <c r="B9" s="354" t="s">
        <v>92</v>
      </c>
      <c r="C9" s="348" t="s">
        <v>245</v>
      </c>
      <c r="D9" s="332">
        <v>7</v>
      </c>
      <c r="E9" s="332">
        <v>7</v>
      </c>
      <c r="F9" s="332">
        <v>7</v>
      </c>
      <c r="G9" s="332">
        <v>7</v>
      </c>
      <c r="H9" s="332">
        <v>7</v>
      </c>
      <c r="I9" s="332">
        <v>7</v>
      </c>
      <c r="J9" s="332">
        <v>7</v>
      </c>
      <c r="K9" s="332">
        <v>7</v>
      </c>
      <c r="L9" s="332">
        <v>7</v>
      </c>
      <c r="M9" s="332">
        <v>7</v>
      </c>
      <c r="N9" s="332">
        <v>7</v>
      </c>
      <c r="O9" s="332">
        <v>7</v>
      </c>
      <c r="P9" s="332">
        <v>7</v>
      </c>
      <c r="Q9" s="332">
        <v>7</v>
      </c>
      <c r="R9" s="332">
        <v>7</v>
      </c>
      <c r="S9" s="332">
        <v>7</v>
      </c>
      <c r="T9" s="332">
        <v>7</v>
      </c>
      <c r="U9" s="332">
        <v>7</v>
      </c>
      <c r="V9" s="332">
        <v>7</v>
      </c>
      <c r="W9" s="332">
        <v>7</v>
      </c>
      <c r="X9" s="332">
        <v>7</v>
      </c>
      <c r="Y9" s="332">
        <v>7</v>
      </c>
      <c r="Z9" s="332">
        <v>7</v>
      </c>
      <c r="AA9" s="332">
        <v>7</v>
      </c>
    </row>
    <row r="10" spans="1:28" s="346" customFormat="1" ht="21">
      <c r="A10" s="456"/>
      <c r="B10" s="353" t="s">
        <v>27</v>
      </c>
      <c r="C10" s="348" t="s">
        <v>41</v>
      </c>
      <c r="D10" s="350">
        <v>0</v>
      </c>
      <c r="E10" s="350">
        <v>0</v>
      </c>
      <c r="F10" s="350">
        <v>0</v>
      </c>
      <c r="G10" s="350">
        <v>0</v>
      </c>
      <c r="H10" s="350">
        <v>0</v>
      </c>
      <c r="I10" s="350">
        <v>0</v>
      </c>
      <c r="J10" s="350">
        <v>0</v>
      </c>
      <c r="K10" s="350">
        <v>0</v>
      </c>
      <c r="L10" s="350">
        <v>0</v>
      </c>
      <c r="M10" s="350">
        <v>0</v>
      </c>
      <c r="N10" s="350">
        <v>0</v>
      </c>
      <c r="O10" s="350">
        <v>0</v>
      </c>
      <c r="P10" s="350">
        <v>0</v>
      </c>
      <c r="Q10" s="350">
        <v>0</v>
      </c>
      <c r="R10" s="350">
        <v>0</v>
      </c>
      <c r="S10" s="350">
        <v>0</v>
      </c>
      <c r="T10" s="350">
        <v>0</v>
      </c>
      <c r="U10" s="350">
        <v>0</v>
      </c>
      <c r="V10" s="350">
        <v>0</v>
      </c>
      <c r="W10" s="350">
        <v>0</v>
      </c>
      <c r="X10" s="350">
        <v>0</v>
      </c>
      <c r="Y10" s="350">
        <v>0</v>
      </c>
      <c r="Z10" s="350">
        <v>0</v>
      </c>
      <c r="AA10" s="350">
        <v>0</v>
      </c>
    </row>
    <row r="11" spans="1:28" s="346" customFormat="1" ht="21">
      <c r="A11" s="456"/>
      <c r="B11" s="352" t="s">
        <v>114</v>
      </c>
      <c r="C11" s="348" t="s">
        <v>245</v>
      </c>
      <c r="D11" s="332">
        <v>2</v>
      </c>
      <c r="E11" s="332">
        <v>2</v>
      </c>
      <c r="F11" s="332">
        <v>2</v>
      </c>
      <c r="G11" s="332">
        <v>2</v>
      </c>
      <c r="H11" s="332">
        <v>2</v>
      </c>
      <c r="I11" s="332">
        <v>2</v>
      </c>
      <c r="J11" s="332">
        <v>2</v>
      </c>
      <c r="K11" s="332">
        <v>2</v>
      </c>
      <c r="L11" s="332">
        <v>2</v>
      </c>
      <c r="M11" s="332">
        <v>2</v>
      </c>
      <c r="N11" s="332">
        <v>2</v>
      </c>
      <c r="O11" s="332">
        <v>2</v>
      </c>
      <c r="P11" s="332">
        <v>2</v>
      </c>
      <c r="Q11" s="332">
        <v>2</v>
      </c>
      <c r="R11" s="332">
        <v>2</v>
      </c>
      <c r="S11" s="332">
        <v>2</v>
      </c>
      <c r="T11" s="332">
        <v>22</v>
      </c>
      <c r="U11" s="332">
        <v>22</v>
      </c>
      <c r="V11" s="332">
        <v>2</v>
      </c>
      <c r="W11" s="332">
        <v>2</v>
      </c>
      <c r="X11" s="332">
        <v>2</v>
      </c>
      <c r="Y11" s="332">
        <v>2</v>
      </c>
      <c r="Z11" s="332">
        <v>22</v>
      </c>
      <c r="AA11" s="332">
        <v>2</v>
      </c>
    </row>
    <row r="12" spans="1:28" s="346" customFormat="1" ht="21">
      <c r="A12" s="456"/>
      <c r="B12" s="353" t="s">
        <v>27</v>
      </c>
      <c r="C12" s="348" t="s">
        <v>41</v>
      </c>
      <c r="D12" s="350">
        <v>0</v>
      </c>
      <c r="E12" s="350">
        <v>0</v>
      </c>
      <c r="F12" s="350">
        <v>0</v>
      </c>
      <c r="G12" s="350">
        <v>0</v>
      </c>
      <c r="H12" s="350">
        <v>0</v>
      </c>
      <c r="I12" s="350">
        <v>0</v>
      </c>
      <c r="J12" s="350">
        <v>0</v>
      </c>
      <c r="K12" s="350">
        <v>0</v>
      </c>
      <c r="L12" s="350">
        <v>0</v>
      </c>
      <c r="M12" s="350">
        <v>0</v>
      </c>
      <c r="N12" s="350">
        <v>0</v>
      </c>
      <c r="O12" s="350">
        <v>0</v>
      </c>
      <c r="P12" s="350">
        <v>0</v>
      </c>
      <c r="Q12" s="350">
        <v>0</v>
      </c>
      <c r="R12" s="350">
        <v>0</v>
      </c>
      <c r="S12" s="350">
        <v>0</v>
      </c>
      <c r="T12" s="350">
        <v>0</v>
      </c>
      <c r="U12" s="350">
        <v>0</v>
      </c>
      <c r="V12" s="350">
        <v>0</v>
      </c>
      <c r="W12" s="350">
        <v>0</v>
      </c>
      <c r="X12" s="350">
        <v>0</v>
      </c>
      <c r="Y12" s="350">
        <v>0</v>
      </c>
      <c r="Z12" s="350">
        <v>0</v>
      </c>
      <c r="AA12" s="350">
        <v>0</v>
      </c>
    </row>
    <row r="13" spans="1:28" s="346" customFormat="1" ht="21">
      <c r="A13" s="456"/>
      <c r="B13" s="352" t="s">
        <v>115</v>
      </c>
      <c r="C13" s="348" t="s">
        <v>245</v>
      </c>
      <c r="D13" s="332">
        <v>10</v>
      </c>
      <c r="E13" s="332">
        <v>10</v>
      </c>
      <c r="F13" s="332">
        <v>10</v>
      </c>
      <c r="G13" s="332">
        <v>10</v>
      </c>
      <c r="H13" s="332">
        <v>10</v>
      </c>
      <c r="I13" s="332">
        <v>10</v>
      </c>
      <c r="J13" s="332">
        <v>10</v>
      </c>
      <c r="K13" s="332">
        <v>10</v>
      </c>
      <c r="L13" s="332">
        <v>10</v>
      </c>
      <c r="M13" s="332">
        <v>10</v>
      </c>
      <c r="N13" s="332">
        <v>10</v>
      </c>
      <c r="O13" s="332">
        <v>10</v>
      </c>
      <c r="P13" s="332">
        <v>10</v>
      </c>
      <c r="Q13" s="332">
        <v>10</v>
      </c>
      <c r="R13" s="332">
        <v>10</v>
      </c>
      <c r="S13" s="332">
        <v>10</v>
      </c>
      <c r="T13" s="332">
        <v>10</v>
      </c>
      <c r="U13" s="332">
        <v>10</v>
      </c>
      <c r="V13" s="332">
        <v>10</v>
      </c>
      <c r="W13" s="332">
        <v>10</v>
      </c>
      <c r="X13" s="332">
        <v>10</v>
      </c>
      <c r="Y13" s="332">
        <v>10</v>
      </c>
      <c r="Z13" s="332">
        <v>10</v>
      </c>
      <c r="AA13" s="332">
        <v>10</v>
      </c>
    </row>
    <row r="14" spans="1:28" s="346" customFormat="1" ht="21">
      <c r="A14" s="456"/>
      <c r="B14" s="353" t="s">
        <v>27</v>
      </c>
      <c r="C14" s="348" t="s">
        <v>41</v>
      </c>
      <c r="D14" s="350">
        <v>0</v>
      </c>
      <c r="E14" s="350">
        <v>0</v>
      </c>
      <c r="F14" s="350">
        <v>0</v>
      </c>
      <c r="G14" s="350">
        <v>0</v>
      </c>
      <c r="H14" s="350">
        <v>0</v>
      </c>
      <c r="I14" s="350">
        <v>0</v>
      </c>
      <c r="J14" s="350">
        <v>0</v>
      </c>
      <c r="K14" s="350">
        <v>0</v>
      </c>
      <c r="L14" s="350">
        <v>0</v>
      </c>
      <c r="M14" s="350">
        <v>0</v>
      </c>
      <c r="N14" s="350">
        <v>0</v>
      </c>
      <c r="O14" s="350">
        <v>0</v>
      </c>
      <c r="P14" s="350">
        <v>0</v>
      </c>
      <c r="Q14" s="350">
        <v>0</v>
      </c>
      <c r="R14" s="350">
        <v>0</v>
      </c>
      <c r="S14" s="350">
        <v>0</v>
      </c>
      <c r="T14" s="350">
        <v>0</v>
      </c>
      <c r="U14" s="350">
        <v>0</v>
      </c>
      <c r="V14" s="350">
        <v>0</v>
      </c>
      <c r="W14" s="350">
        <v>0</v>
      </c>
      <c r="X14" s="350">
        <v>0</v>
      </c>
      <c r="Y14" s="350">
        <v>0</v>
      </c>
      <c r="Z14" s="350">
        <v>0</v>
      </c>
      <c r="AA14" s="350">
        <v>0</v>
      </c>
    </row>
    <row r="15" spans="1:28" s="346" customFormat="1" ht="21">
      <c r="A15" s="456"/>
      <c r="B15" s="352" t="s">
        <v>116</v>
      </c>
      <c r="C15" s="348" t="s">
        <v>245</v>
      </c>
      <c r="D15" s="332">
        <v>2.5</v>
      </c>
      <c r="E15" s="332">
        <v>2.5</v>
      </c>
      <c r="F15" s="332">
        <v>2.5</v>
      </c>
      <c r="G15" s="332">
        <v>2.5</v>
      </c>
      <c r="H15" s="332">
        <v>2.5</v>
      </c>
      <c r="I15" s="332">
        <v>2.5</v>
      </c>
      <c r="J15" s="332">
        <v>2.5</v>
      </c>
      <c r="K15" s="332">
        <v>2.5</v>
      </c>
      <c r="L15" s="332">
        <v>2.5</v>
      </c>
      <c r="M15" s="332">
        <v>2.5</v>
      </c>
      <c r="N15" s="332">
        <v>2.5</v>
      </c>
      <c r="O15" s="332">
        <v>2.5</v>
      </c>
      <c r="P15" s="332">
        <v>2.5</v>
      </c>
      <c r="Q15" s="332">
        <v>2.5</v>
      </c>
      <c r="R15" s="332">
        <v>2.5</v>
      </c>
      <c r="S15" s="332">
        <v>2.5</v>
      </c>
      <c r="T15" s="332">
        <v>2.5</v>
      </c>
      <c r="U15" s="332">
        <v>2.5</v>
      </c>
      <c r="V15" s="332">
        <v>2.5</v>
      </c>
      <c r="W15" s="332">
        <v>2.5</v>
      </c>
      <c r="X15" s="332">
        <v>2.5</v>
      </c>
      <c r="Y15" s="332">
        <v>2.5</v>
      </c>
      <c r="Z15" s="332">
        <v>2.5</v>
      </c>
      <c r="AA15" s="332">
        <v>2.5</v>
      </c>
    </row>
    <row r="16" spans="1:28" s="346" customFormat="1" ht="21">
      <c r="A16" s="456"/>
      <c r="B16" s="353" t="s">
        <v>27</v>
      </c>
      <c r="C16" s="348" t="s">
        <v>41</v>
      </c>
      <c r="D16" s="350">
        <v>0</v>
      </c>
      <c r="E16" s="350">
        <v>0</v>
      </c>
      <c r="F16" s="350">
        <v>0</v>
      </c>
      <c r="G16" s="350">
        <v>0</v>
      </c>
      <c r="H16" s="350">
        <v>0</v>
      </c>
      <c r="I16" s="350">
        <v>0</v>
      </c>
      <c r="J16" s="350">
        <v>0</v>
      </c>
      <c r="K16" s="350">
        <v>0</v>
      </c>
      <c r="L16" s="350">
        <v>0</v>
      </c>
      <c r="M16" s="350">
        <v>0</v>
      </c>
      <c r="N16" s="350">
        <v>0</v>
      </c>
      <c r="O16" s="350">
        <v>0</v>
      </c>
      <c r="P16" s="350">
        <v>0</v>
      </c>
      <c r="Q16" s="350">
        <v>0</v>
      </c>
      <c r="R16" s="350">
        <v>0</v>
      </c>
      <c r="S16" s="350">
        <v>0</v>
      </c>
      <c r="T16" s="350">
        <v>0</v>
      </c>
      <c r="U16" s="350">
        <v>0</v>
      </c>
      <c r="V16" s="350">
        <v>0</v>
      </c>
      <c r="W16" s="350">
        <v>0</v>
      </c>
      <c r="X16" s="350">
        <v>0</v>
      </c>
      <c r="Y16" s="350">
        <v>0</v>
      </c>
      <c r="Z16" s="350">
        <v>0</v>
      </c>
      <c r="AA16" s="350">
        <v>0</v>
      </c>
    </row>
    <row r="17" spans="1:28" s="346" customFormat="1" ht="21">
      <c r="A17" s="456"/>
      <c r="B17" s="352" t="s">
        <v>202</v>
      </c>
      <c r="C17" s="348" t="s">
        <v>245</v>
      </c>
      <c r="D17" s="332">
        <v>8</v>
      </c>
      <c r="E17" s="332">
        <v>8</v>
      </c>
      <c r="F17" s="332">
        <v>8</v>
      </c>
      <c r="G17" s="332">
        <v>8</v>
      </c>
      <c r="H17" s="332">
        <v>8</v>
      </c>
      <c r="I17" s="332">
        <v>8</v>
      </c>
      <c r="J17" s="332">
        <v>8</v>
      </c>
      <c r="K17" s="332">
        <v>8</v>
      </c>
      <c r="L17" s="332">
        <v>8</v>
      </c>
      <c r="M17" s="332">
        <v>8</v>
      </c>
      <c r="N17" s="332">
        <v>8</v>
      </c>
      <c r="O17" s="332">
        <v>8</v>
      </c>
      <c r="P17" s="332">
        <v>8</v>
      </c>
      <c r="Q17" s="332">
        <v>8</v>
      </c>
      <c r="R17" s="332">
        <v>8</v>
      </c>
      <c r="S17" s="332">
        <v>8</v>
      </c>
      <c r="T17" s="332">
        <v>8</v>
      </c>
      <c r="U17" s="332">
        <v>8</v>
      </c>
      <c r="V17" s="332">
        <v>8</v>
      </c>
      <c r="W17" s="332">
        <v>8</v>
      </c>
      <c r="X17" s="332">
        <v>8</v>
      </c>
      <c r="Y17" s="332">
        <v>8</v>
      </c>
      <c r="Z17" s="332">
        <v>8</v>
      </c>
      <c r="AA17" s="332">
        <v>8</v>
      </c>
    </row>
    <row r="18" spans="1:28" s="346" customFormat="1" ht="21">
      <c r="A18" s="456"/>
      <c r="B18" s="353" t="s">
        <v>27</v>
      </c>
      <c r="C18" s="348" t="s">
        <v>41</v>
      </c>
      <c r="D18" s="350">
        <v>0</v>
      </c>
      <c r="E18" s="350">
        <v>0</v>
      </c>
      <c r="F18" s="350">
        <v>0</v>
      </c>
      <c r="G18" s="350">
        <v>0</v>
      </c>
      <c r="H18" s="350">
        <v>0</v>
      </c>
      <c r="I18" s="350">
        <v>0</v>
      </c>
      <c r="J18" s="350">
        <v>0</v>
      </c>
      <c r="K18" s="350">
        <v>0</v>
      </c>
      <c r="L18" s="350">
        <v>0</v>
      </c>
      <c r="M18" s="350">
        <v>0</v>
      </c>
      <c r="N18" s="350">
        <v>0</v>
      </c>
      <c r="O18" s="350">
        <v>0</v>
      </c>
      <c r="P18" s="350">
        <v>0</v>
      </c>
      <c r="Q18" s="350">
        <v>0</v>
      </c>
      <c r="R18" s="350">
        <v>0</v>
      </c>
      <c r="S18" s="350">
        <v>0</v>
      </c>
      <c r="T18" s="350">
        <v>0</v>
      </c>
      <c r="U18" s="350">
        <v>0</v>
      </c>
      <c r="V18" s="350">
        <v>0</v>
      </c>
      <c r="W18" s="350">
        <v>0</v>
      </c>
      <c r="X18" s="350">
        <v>0</v>
      </c>
      <c r="Y18" s="350">
        <v>0</v>
      </c>
      <c r="Z18" s="350">
        <v>0</v>
      </c>
      <c r="AA18" s="350">
        <v>0</v>
      </c>
    </row>
    <row r="19" spans="1:28" s="346" customFormat="1" ht="21">
      <c r="A19" s="457"/>
      <c r="B19" s="352" t="s">
        <v>249</v>
      </c>
      <c r="C19" s="348" t="s">
        <v>245</v>
      </c>
      <c r="D19" s="332">
        <v>0</v>
      </c>
      <c r="E19" s="332">
        <v>0</v>
      </c>
      <c r="F19" s="332">
        <v>0</v>
      </c>
      <c r="G19" s="332">
        <v>0</v>
      </c>
      <c r="H19" s="332">
        <v>0</v>
      </c>
      <c r="I19" s="332">
        <v>0</v>
      </c>
      <c r="J19" s="332">
        <v>0</v>
      </c>
      <c r="K19" s="332">
        <v>0</v>
      </c>
      <c r="L19" s="332">
        <v>0</v>
      </c>
      <c r="M19" s="332">
        <v>0</v>
      </c>
      <c r="N19" s="332">
        <v>0</v>
      </c>
      <c r="O19" s="332">
        <v>0</v>
      </c>
      <c r="P19" s="332">
        <v>0</v>
      </c>
      <c r="Q19" s="332">
        <v>0</v>
      </c>
      <c r="R19" s="332">
        <v>0</v>
      </c>
      <c r="S19" s="332">
        <v>0</v>
      </c>
      <c r="T19" s="332">
        <v>0</v>
      </c>
      <c r="U19" s="332">
        <v>0</v>
      </c>
      <c r="V19" s="332">
        <v>0</v>
      </c>
      <c r="W19" s="332">
        <v>0</v>
      </c>
      <c r="X19" s="332">
        <v>0</v>
      </c>
      <c r="Y19" s="332">
        <v>0</v>
      </c>
      <c r="Z19" s="332">
        <v>0</v>
      </c>
      <c r="AA19" s="332">
        <v>0</v>
      </c>
    </row>
    <row r="20" spans="1:28" s="346" customFormat="1" ht="21" customHeight="1">
      <c r="A20" s="457"/>
      <c r="B20" s="353" t="s">
        <v>27</v>
      </c>
      <c r="C20" s="348" t="s">
        <v>41</v>
      </c>
      <c r="D20" s="350">
        <v>0</v>
      </c>
      <c r="E20" s="350">
        <v>0</v>
      </c>
      <c r="F20" s="350">
        <v>0</v>
      </c>
      <c r="G20" s="350">
        <v>0</v>
      </c>
      <c r="H20" s="350">
        <v>0</v>
      </c>
      <c r="I20" s="350">
        <v>0</v>
      </c>
      <c r="J20" s="350">
        <v>0</v>
      </c>
      <c r="K20" s="350">
        <v>0</v>
      </c>
      <c r="L20" s="350">
        <v>0</v>
      </c>
      <c r="M20" s="350">
        <v>0</v>
      </c>
      <c r="N20" s="350">
        <v>0</v>
      </c>
      <c r="O20" s="350">
        <v>0</v>
      </c>
      <c r="P20" s="350">
        <v>0</v>
      </c>
      <c r="Q20" s="350">
        <v>0</v>
      </c>
      <c r="R20" s="350">
        <v>0</v>
      </c>
      <c r="S20" s="350">
        <v>0</v>
      </c>
      <c r="T20" s="350">
        <v>0</v>
      </c>
      <c r="U20" s="350">
        <v>0</v>
      </c>
      <c r="V20" s="350">
        <v>0</v>
      </c>
      <c r="W20" s="350">
        <v>0</v>
      </c>
      <c r="X20" s="350">
        <v>0</v>
      </c>
      <c r="Y20" s="350">
        <v>0</v>
      </c>
      <c r="Z20" s="350">
        <v>0</v>
      </c>
      <c r="AA20" s="350">
        <v>0</v>
      </c>
    </row>
    <row r="21" spans="1:28" ht="21" customHeight="1">
      <c r="A21" s="458"/>
      <c r="B21" s="90">
        <v>0</v>
      </c>
      <c r="C21" s="85" t="s">
        <v>42</v>
      </c>
      <c r="D21" s="86"/>
      <c r="E21" s="86"/>
      <c r="F21" s="89"/>
      <c r="G21" s="188"/>
      <c r="H21" s="87"/>
      <c r="I21" s="87"/>
      <c r="J21" s="187"/>
      <c r="K21" s="87"/>
      <c r="L21" s="88"/>
      <c r="M21" s="88"/>
      <c r="N21" s="88"/>
      <c r="O21" s="86"/>
      <c r="P21" s="86" t="s">
        <v>41</v>
      </c>
      <c r="Q21" s="87"/>
      <c r="R21" s="87"/>
      <c r="S21" s="87"/>
      <c r="T21" s="188"/>
      <c r="U21" s="188"/>
      <c r="V21" s="188"/>
      <c r="W21" s="89"/>
      <c r="X21" s="170"/>
      <c r="Y21" s="87"/>
      <c r="Z21" s="188"/>
      <c r="AA21" s="88"/>
      <c r="AB21"/>
    </row>
    <row r="22" spans="1:28" s="3" customFormat="1" ht="21">
      <c r="A22" s="458"/>
      <c r="B22" s="467" t="s">
        <v>27</v>
      </c>
      <c r="C22" s="461" t="s">
        <v>41</v>
      </c>
      <c r="D22" s="462"/>
      <c r="E22" s="462"/>
      <c r="F22" s="468"/>
      <c r="G22" s="463"/>
      <c r="H22" s="468"/>
      <c r="I22" s="468"/>
      <c r="J22" s="463"/>
      <c r="K22" s="468"/>
      <c r="L22" s="465"/>
      <c r="M22" s="465"/>
      <c r="N22" s="465"/>
      <c r="O22" s="462"/>
      <c r="P22" s="462"/>
      <c r="Q22" s="468"/>
      <c r="R22" s="468"/>
      <c r="S22" s="468"/>
      <c r="T22" s="463"/>
      <c r="U22" s="463"/>
      <c r="V22" s="463"/>
      <c r="W22" s="468"/>
      <c r="X22" s="469"/>
      <c r="Y22" s="468"/>
      <c r="Z22" s="463"/>
      <c r="AA22" s="465"/>
    </row>
    <row r="23" spans="1:28" s="3" customFormat="1" ht="21">
      <c r="A23" s="459"/>
      <c r="B23" s="460"/>
      <c r="C23" s="461" t="s">
        <v>41</v>
      </c>
      <c r="D23" s="470"/>
      <c r="E23" s="470"/>
      <c r="F23" s="464"/>
      <c r="G23" s="463"/>
      <c r="H23" s="464"/>
      <c r="I23" s="464"/>
      <c r="J23" s="463"/>
      <c r="K23" s="464"/>
      <c r="L23" s="465"/>
      <c r="M23" s="465"/>
      <c r="N23" s="465"/>
      <c r="O23" s="470"/>
      <c r="P23" s="470"/>
      <c r="Q23" s="464"/>
      <c r="R23" s="464"/>
      <c r="S23" s="464"/>
      <c r="T23" s="463"/>
      <c r="U23" s="463"/>
      <c r="V23" s="463"/>
      <c r="W23" s="464"/>
      <c r="X23" s="466"/>
      <c r="Y23" s="464"/>
      <c r="Z23" s="463"/>
      <c r="AA23" s="465"/>
    </row>
    <row r="24" spans="1:28" s="3" customFormat="1" ht="21">
      <c r="A24" s="458"/>
      <c r="B24" s="467"/>
      <c r="C24" s="461"/>
      <c r="D24" s="462"/>
      <c r="E24" s="462"/>
      <c r="F24" s="468"/>
      <c r="G24" s="463"/>
      <c r="H24" s="468"/>
      <c r="I24" s="468"/>
      <c r="J24" s="463"/>
      <c r="K24" s="468"/>
      <c r="L24" s="465"/>
      <c r="M24" s="465"/>
      <c r="N24" s="465"/>
      <c r="O24" s="462"/>
      <c r="P24" s="462"/>
      <c r="Q24" s="468"/>
      <c r="R24" s="468"/>
      <c r="S24" s="468"/>
      <c r="T24" s="463"/>
      <c r="U24" s="463"/>
      <c r="V24" s="463"/>
      <c r="W24" s="468"/>
      <c r="X24" s="469"/>
      <c r="Y24" s="468"/>
      <c r="Z24" s="463"/>
      <c r="AA24" s="465"/>
    </row>
    <row r="25" spans="1:28" s="3" customFormat="1" ht="21">
      <c r="A25" s="459"/>
      <c r="G25" s="463"/>
      <c r="J25" s="455"/>
      <c r="L25" s="465"/>
      <c r="M25" s="465"/>
      <c r="N25" s="465"/>
      <c r="T25" s="463"/>
      <c r="U25" s="463"/>
      <c r="V25" s="455"/>
      <c r="X25" s="426"/>
      <c r="Z25" s="463"/>
      <c r="AA25" s="465"/>
    </row>
    <row r="26" spans="1:28" s="3" customFormat="1" ht="21">
      <c r="A26" s="459"/>
      <c r="G26" s="463"/>
      <c r="J26" s="455"/>
      <c r="L26" s="465"/>
      <c r="M26" s="465"/>
      <c r="N26" s="465"/>
      <c r="T26" s="463"/>
      <c r="U26" s="463"/>
      <c r="V26" s="455"/>
      <c r="X26" s="426"/>
      <c r="Z26" s="463"/>
      <c r="AA26" s="465"/>
    </row>
    <row r="27" spans="1:28" s="3" customFormat="1" ht="21">
      <c r="A27" s="459"/>
      <c r="G27" s="463"/>
      <c r="J27" s="455"/>
      <c r="L27" s="465"/>
      <c r="M27" s="465"/>
      <c r="N27" s="465"/>
      <c r="T27" s="463"/>
      <c r="U27" s="463"/>
      <c r="V27" s="455"/>
      <c r="X27" s="426"/>
      <c r="Z27" s="463"/>
      <c r="AA27" s="465"/>
    </row>
    <row r="28" spans="1:28" s="3" customFormat="1" ht="21">
      <c r="A28" s="459"/>
      <c r="G28" s="463"/>
      <c r="J28" s="455"/>
      <c r="L28" s="465"/>
      <c r="M28" s="465"/>
      <c r="N28" s="465"/>
      <c r="T28" s="463"/>
      <c r="U28" s="463"/>
      <c r="V28" s="455"/>
      <c r="X28" s="426"/>
      <c r="Z28" s="463"/>
      <c r="AA28" s="465"/>
    </row>
    <row r="29" spans="1:28" s="3" customFormat="1" ht="21">
      <c r="A29" s="459"/>
      <c r="G29" s="463"/>
      <c r="J29" s="455"/>
      <c r="L29" s="465"/>
      <c r="M29" s="465"/>
      <c r="N29" s="465"/>
      <c r="T29" s="463"/>
      <c r="U29" s="463"/>
      <c r="V29" s="455"/>
      <c r="X29" s="426"/>
      <c r="Z29" s="463"/>
      <c r="AA29" s="465"/>
    </row>
    <row r="30" spans="1:28" s="3" customFormat="1" ht="22" customHeight="1">
      <c r="A30" s="459"/>
      <c r="G30" s="463"/>
      <c r="J30" s="455"/>
      <c r="L30" s="465"/>
      <c r="M30" s="465"/>
      <c r="N30" s="465"/>
      <c r="T30" s="463"/>
      <c r="U30" s="463"/>
      <c r="V30" s="455"/>
      <c r="X30" s="426"/>
      <c r="Z30" s="463"/>
      <c r="AA30" s="465"/>
    </row>
    <row r="31" spans="1:28" s="3" customFormat="1" ht="21">
      <c r="A31" s="459"/>
      <c r="G31" s="463"/>
      <c r="J31" s="455"/>
      <c r="L31" s="465"/>
      <c r="M31" s="465"/>
      <c r="N31" s="465"/>
      <c r="T31" s="463"/>
      <c r="U31" s="463"/>
      <c r="V31" s="455"/>
      <c r="X31" s="426"/>
      <c r="Z31" s="463"/>
      <c r="AA31" s="465"/>
    </row>
    <row r="32" spans="1:28" s="3" customFormat="1" ht="22" customHeight="1">
      <c r="A32" s="459"/>
      <c r="G32" s="463"/>
      <c r="J32" s="455"/>
      <c r="L32" s="465"/>
      <c r="M32" s="465"/>
      <c r="N32" s="465"/>
      <c r="T32" s="463"/>
      <c r="U32" s="463"/>
      <c r="V32" s="455"/>
      <c r="X32" s="426"/>
      <c r="Z32" s="463"/>
      <c r="AA32" s="465"/>
    </row>
    <row r="33" spans="1:27" s="3" customFormat="1" ht="20" customHeight="1">
      <c r="A33" s="459"/>
      <c r="G33" s="463"/>
      <c r="J33" s="455"/>
      <c r="L33" s="465"/>
      <c r="M33" s="465"/>
      <c r="N33" s="465"/>
      <c r="T33" s="463"/>
      <c r="U33" s="463"/>
      <c r="V33" s="455"/>
      <c r="X33" s="426"/>
      <c r="Z33" s="463"/>
      <c r="AA33" s="465"/>
    </row>
    <row r="34" spans="1:27" s="3" customFormat="1" ht="21">
      <c r="A34" s="459"/>
      <c r="G34" s="463"/>
      <c r="J34" s="455"/>
      <c r="L34" s="465"/>
      <c r="M34" s="465"/>
      <c r="N34" s="465"/>
      <c r="T34" s="463"/>
      <c r="U34" s="463"/>
      <c r="V34" s="455"/>
      <c r="X34" s="426"/>
      <c r="Z34" s="463"/>
      <c r="AA34" s="465"/>
    </row>
    <row r="35" spans="1:27" s="3" customFormat="1" ht="21" customHeight="1">
      <c r="A35" s="459"/>
      <c r="G35" s="463"/>
      <c r="J35" s="455"/>
      <c r="L35" s="465"/>
      <c r="M35" s="465"/>
      <c r="N35" s="465"/>
      <c r="T35" s="463"/>
      <c r="U35" s="463"/>
      <c r="V35" s="455"/>
      <c r="X35" s="426"/>
      <c r="Z35" s="463"/>
      <c r="AA35" s="465"/>
    </row>
    <row r="36" spans="1:27" s="3" customFormat="1" ht="21">
      <c r="A36" s="459"/>
      <c r="G36" s="463"/>
      <c r="J36" s="455"/>
      <c r="L36" s="465"/>
      <c r="M36" s="465"/>
      <c r="N36" s="465"/>
      <c r="T36" s="463"/>
      <c r="U36" s="463"/>
      <c r="V36" s="455"/>
      <c r="X36" s="426"/>
      <c r="Z36" s="463"/>
      <c r="AA36" s="465"/>
    </row>
    <row r="37" spans="1:27" s="3" customFormat="1" ht="21">
      <c r="A37" s="459"/>
      <c r="G37" s="463"/>
      <c r="J37" s="455"/>
      <c r="L37" s="465"/>
      <c r="M37" s="465"/>
      <c r="N37" s="465"/>
      <c r="T37" s="463"/>
      <c r="U37" s="463"/>
      <c r="V37" s="455"/>
      <c r="X37" s="426"/>
      <c r="Z37" s="463"/>
      <c r="AA37" s="465"/>
    </row>
    <row r="38" spans="1:27" s="3" customFormat="1" ht="21">
      <c r="A38" s="459"/>
      <c r="G38" s="463"/>
      <c r="J38" s="455"/>
      <c r="L38" s="465"/>
      <c r="M38" s="465"/>
      <c r="N38" s="465"/>
      <c r="T38" s="463"/>
      <c r="U38" s="463"/>
      <c r="V38" s="455"/>
      <c r="X38" s="426"/>
      <c r="Z38" s="463"/>
      <c r="AA38" s="465"/>
    </row>
    <row r="39" spans="1:27" s="3" customFormat="1" ht="21">
      <c r="A39" s="459"/>
      <c r="G39" s="463"/>
      <c r="J39" s="455"/>
      <c r="L39" s="465"/>
      <c r="M39" s="465"/>
      <c r="N39" s="465"/>
      <c r="T39" s="463"/>
      <c r="U39" s="463"/>
      <c r="V39" s="455"/>
      <c r="X39" s="426"/>
      <c r="Z39" s="463"/>
      <c r="AA39" s="465"/>
    </row>
    <row r="40" spans="1:27" s="3" customFormat="1" ht="21">
      <c r="A40" s="459"/>
      <c r="G40" s="463"/>
      <c r="J40" s="455"/>
      <c r="L40" s="465"/>
      <c r="M40" s="465"/>
      <c r="N40" s="465"/>
      <c r="T40" s="463"/>
      <c r="U40" s="463"/>
      <c r="V40" s="455"/>
      <c r="X40" s="426"/>
      <c r="Z40" s="463"/>
      <c r="AA40" s="465"/>
    </row>
    <row r="41" spans="1:27" s="3" customFormat="1" ht="21">
      <c r="A41" s="459"/>
      <c r="G41" s="463"/>
      <c r="J41" s="455"/>
      <c r="L41" s="465"/>
      <c r="M41" s="465"/>
      <c r="N41" s="465"/>
      <c r="T41" s="463"/>
      <c r="U41" s="463"/>
      <c r="V41" s="455"/>
      <c r="X41" s="426"/>
      <c r="Z41" s="463"/>
      <c r="AA41" s="465"/>
    </row>
    <row r="42" spans="1:27" s="3" customFormat="1" ht="21">
      <c r="A42" s="459"/>
      <c r="G42" s="463"/>
      <c r="J42" s="455"/>
      <c r="L42" s="465"/>
      <c r="M42" s="465"/>
      <c r="N42" s="465"/>
      <c r="T42" s="463"/>
      <c r="U42" s="463"/>
      <c r="V42" s="455"/>
      <c r="X42" s="426"/>
      <c r="Z42" s="463"/>
      <c r="AA42" s="465"/>
    </row>
    <row r="43" spans="1:27" s="3" customFormat="1" ht="21">
      <c r="A43" s="459"/>
      <c r="G43" s="463"/>
      <c r="J43" s="455"/>
      <c r="L43" s="465"/>
      <c r="M43" s="465"/>
      <c r="N43" s="465"/>
      <c r="T43" s="463"/>
      <c r="U43" s="463"/>
      <c r="V43" s="455"/>
      <c r="X43" s="426"/>
      <c r="Z43" s="463"/>
      <c r="AA43" s="465"/>
    </row>
    <row r="44" spans="1:27" s="3" customFormat="1" ht="21">
      <c r="A44" s="459"/>
      <c r="G44" s="463"/>
      <c r="J44" s="455"/>
      <c r="L44" s="465"/>
      <c r="M44" s="465"/>
      <c r="N44" s="465"/>
      <c r="T44" s="463"/>
      <c r="U44" s="463"/>
      <c r="V44" s="455"/>
      <c r="X44" s="426"/>
      <c r="Z44" s="463"/>
      <c r="AA44" s="465"/>
    </row>
    <row r="45" spans="1:27" s="3" customFormat="1" ht="21">
      <c r="A45" s="459"/>
      <c r="G45" s="463"/>
      <c r="J45" s="455"/>
      <c r="L45" s="465"/>
      <c r="M45" s="465"/>
      <c r="N45" s="465"/>
      <c r="T45" s="463"/>
      <c r="U45" s="463"/>
      <c r="V45" s="455"/>
      <c r="X45" s="426"/>
      <c r="Z45" s="463"/>
      <c r="AA45" s="465"/>
    </row>
    <row r="46" spans="1:27" s="3" customFormat="1" ht="21">
      <c r="A46" s="459"/>
      <c r="G46" s="463"/>
      <c r="J46" s="455"/>
      <c r="L46" s="465"/>
      <c r="M46" s="465"/>
      <c r="N46" s="465"/>
      <c r="T46" s="463"/>
      <c r="U46" s="463"/>
      <c r="V46" s="455"/>
      <c r="X46" s="426"/>
      <c r="Z46" s="463"/>
      <c r="AA46" s="465"/>
    </row>
    <row r="47" spans="1:27" s="3" customFormat="1" ht="21">
      <c r="A47" s="459"/>
      <c r="G47" s="463"/>
      <c r="J47" s="455"/>
      <c r="L47" s="465"/>
      <c r="M47" s="465"/>
      <c r="N47" s="465"/>
      <c r="T47" s="463"/>
      <c r="U47" s="463"/>
      <c r="V47" s="455"/>
      <c r="X47" s="426"/>
      <c r="Z47" s="463"/>
      <c r="AA47" s="465"/>
    </row>
    <row r="48" spans="1:27" s="3" customFormat="1" ht="21">
      <c r="A48" s="459"/>
      <c r="G48" s="463"/>
      <c r="J48" s="455"/>
      <c r="L48" s="465"/>
      <c r="M48" s="465"/>
      <c r="N48" s="465"/>
      <c r="T48" s="463"/>
      <c r="U48" s="463"/>
      <c r="V48" s="455"/>
      <c r="X48" s="426"/>
      <c r="Z48" s="463"/>
      <c r="AA48" s="465"/>
    </row>
    <row r="49" spans="1:28" s="3" customFormat="1" ht="21">
      <c r="A49" s="459"/>
      <c r="G49" s="463"/>
      <c r="J49" s="455"/>
      <c r="L49" s="465"/>
      <c r="M49" s="465"/>
      <c r="N49" s="465"/>
      <c r="T49" s="463"/>
      <c r="U49" s="463"/>
      <c r="V49" s="455"/>
      <c r="X49" s="426"/>
      <c r="Z49" s="463"/>
      <c r="AA49" s="465"/>
    </row>
    <row r="50" spans="1:28" s="3" customFormat="1" ht="21">
      <c r="A50" s="459"/>
      <c r="G50" s="463"/>
      <c r="J50" s="455"/>
      <c r="L50" s="465"/>
      <c r="M50" s="465"/>
      <c r="N50" s="465"/>
      <c r="T50" s="463"/>
      <c r="U50" s="463"/>
      <c r="V50" s="455"/>
      <c r="X50" s="426"/>
      <c r="Z50" s="463"/>
      <c r="AA50" s="465"/>
    </row>
    <row r="51" spans="1:28" s="3" customFormat="1" ht="21">
      <c r="A51" s="459"/>
      <c r="G51" s="463"/>
      <c r="J51" s="455"/>
      <c r="L51" s="465"/>
      <c r="M51" s="465"/>
      <c r="N51" s="465"/>
      <c r="T51" s="463"/>
      <c r="U51" s="463"/>
      <c r="V51" s="455"/>
      <c r="X51" s="426"/>
      <c r="Z51" s="463"/>
      <c r="AA51" s="465"/>
    </row>
    <row r="52" spans="1:28" s="3" customFormat="1" ht="21">
      <c r="A52" s="459"/>
      <c r="G52" s="463"/>
      <c r="J52" s="455"/>
      <c r="L52" s="465"/>
      <c r="M52" s="465"/>
      <c r="N52" s="465"/>
      <c r="T52" s="463"/>
      <c r="U52" s="463"/>
      <c r="V52" s="455"/>
      <c r="X52" s="426"/>
      <c r="Z52" s="463"/>
      <c r="AA52" s="465"/>
    </row>
    <row r="53" spans="1:28" s="3" customFormat="1" ht="21">
      <c r="A53" s="459"/>
      <c r="G53" s="463"/>
      <c r="J53" s="455"/>
      <c r="L53" s="465"/>
      <c r="M53" s="465"/>
      <c r="N53" s="465"/>
      <c r="T53" s="463"/>
      <c r="U53" s="463"/>
      <c r="V53" s="455"/>
      <c r="X53" s="426"/>
      <c r="Z53" s="463"/>
      <c r="AA53" s="465"/>
    </row>
    <row r="54" spans="1:28" s="3" customFormat="1" ht="21">
      <c r="A54" s="459"/>
      <c r="G54" s="463"/>
      <c r="J54" s="455"/>
      <c r="L54" s="465"/>
      <c r="M54" s="465"/>
      <c r="N54" s="465"/>
      <c r="T54" s="463"/>
      <c r="U54" s="463"/>
      <c r="V54" s="455"/>
      <c r="X54" s="426"/>
      <c r="Z54" s="463"/>
      <c r="AA54" s="465"/>
    </row>
    <row r="55" spans="1:28" s="3" customFormat="1" ht="21">
      <c r="A55" s="459"/>
      <c r="G55" s="463"/>
      <c r="J55" s="455"/>
      <c r="L55" s="465"/>
      <c r="M55" s="465"/>
      <c r="N55" s="465"/>
      <c r="T55" s="463"/>
      <c r="U55" s="463"/>
      <c r="V55" s="455"/>
      <c r="X55" s="426"/>
      <c r="Z55" s="463"/>
      <c r="AA55" s="465"/>
    </row>
    <row r="56" spans="1:28" s="3" customFormat="1" ht="21">
      <c r="A56" s="459"/>
      <c r="G56" s="463"/>
      <c r="J56" s="455"/>
      <c r="L56" s="465"/>
      <c r="M56" s="465"/>
      <c r="N56" s="465"/>
      <c r="T56" s="463"/>
      <c r="U56" s="463"/>
      <c r="V56" s="455"/>
      <c r="X56" s="426"/>
      <c r="Z56" s="463"/>
      <c r="AA56" s="465"/>
    </row>
    <row r="57" spans="1:28" s="3" customFormat="1" ht="21">
      <c r="A57" s="459"/>
      <c r="G57" s="463"/>
      <c r="J57" s="455"/>
      <c r="L57" s="465"/>
      <c r="M57" s="465"/>
      <c r="N57" s="465"/>
      <c r="T57" s="463"/>
      <c r="U57" s="463"/>
      <c r="V57" s="455"/>
      <c r="X57" s="426"/>
      <c r="Z57" s="463"/>
      <c r="AA57" s="465"/>
    </row>
    <row r="58" spans="1:28" s="3" customFormat="1" ht="21">
      <c r="A58" s="459"/>
      <c r="G58" s="463"/>
      <c r="J58" s="455"/>
      <c r="L58" s="465"/>
      <c r="M58" s="465"/>
      <c r="N58" s="465"/>
      <c r="T58" s="463"/>
      <c r="U58" s="463"/>
      <c r="V58" s="455"/>
      <c r="X58" s="426"/>
      <c r="Z58" s="463"/>
      <c r="AA58" s="465"/>
    </row>
    <row r="59" spans="1:28" s="3" customFormat="1" ht="21">
      <c r="A59" s="459"/>
      <c r="G59" s="463"/>
      <c r="J59" s="455"/>
      <c r="L59" s="465"/>
      <c r="M59" s="465"/>
      <c r="N59" s="465"/>
      <c r="T59" s="463"/>
      <c r="U59" s="463"/>
      <c r="V59" s="455"/>
      <c r="X59" s="426"/>
      <c r="Z59" s="463"/>
      <c r="AA59" s="465"/>
    </row>
    <row r="60" spans="1:28" s="3" customFormat="1" ht="21">
      <c r="A60" s="459"/>
      <c r="G60" s="463"/>
      <c r="J60" s="455"/>
      <c r="L60" s="465"/>
      <c r="M60" s="465"/>
      <c r="N60" s="465"/>
      <c r="T60" s="463"/>
      <c r="U60" s="463"/>
      <c r="V60" s="455"/>
      <c r="X60" s="426"/>
      <c r="Z60" s="463"/>
      <c r="AA60" s="465"/>
    </row>
    <row r="61" spans="1:28" s="3" customFormat="1" ht="21">
      <c r="A61" s="459"/>
      <c r="G61" s="463"/>
      <c r="J61" s="455"/>
      <c r="L61" s="465"/>
      <c r="M61" s="465"/>
      <c r="N61" s="465"/>
      <c r="T61" s="463"/>
      <c r="U61" s="463"/>
      <c r="V61" s="455"/>
      <c r="X61" s="426"/>
      <c r="Z61" s="463"/>
      <c r="AA61" s="465"/>
    </row>
    <row r="62" spans="1:28" s="3" customFormat="1" ht="21">
      <c r="A62" s="459"/>
      <c r="G62" s="463"/>
      <c r="J62" s="455"/>
      <c r="L62" s="465"/>
      <c r="M62" s="465"/>
      <c r="N62" s="465"/>
      <c r="T62" s="463"/>
      <c r="U62" s="463"/>
      <c r="V62" s="455"/>
      <c r="X62" s="426"/>
      <c r="Z62" s="463"/>
      <c r="AA62" s="465"/>
    </row>
    <row r="63" spans="1:28" s="3" customFormat="1" ht="21">
      <c r="A63" s="459"/>
      <c r="G63" s="463"/>
      <c r="J63" s="455"/>
      <c r="L63" s="465"/>
      <c r="M63" s="465"/>
      <c r="N63" s="465"/>
      <c r="T63" s="463"/>
      <c r="U63" s="463"/>
      <c r="V63" s="455"/>
      <c r="X63" s="426"/>
      <c r="Z63" s="463"/>
      <c r="AA63" s="465"/>
    </row>
    <row r="64" spans="1:28" ht="21">
      <c r="A64" s="459"/>
      <c r="G64" s="188"/>
      <c r="L64" s="88"/>
      <c r="M64" s="88"/>
      <c r="N64" s="88"/>
      <c r="T64" s="188"/>
      <c r="U64" s="188"/>
      <c r="Z64" s="188"/>
      <c r="AA64" s="88"/>
      <c r="AB64"/>
    </row>
    <row r="65" spans="1:28" ht="21">
      <c r="A65" s="459"/>
      <c r="G65" s="188"/>
      <c r="L65" s="88"/>
      <c r="M65" s="88"/>
      <c r="N65" s="88"/>
      <c r="T65" s="188"/>
      <c r="U65" s="188"/>
      <c r="Z65" s="188"/>
      <c r="AA65" s="88"/>
      <c r="AB65"/>
    </row>
    <row r="66" spans="1:28" ht="21">
      <c r="A66" s="459"/>
      <c r="G66" s="188"/>
      <c r="L66" s="88"/>
      <c r="M66" s="88"/>
      <c r="N66" s="88"/>
      <c r="T66" s="188"/>
      <c r="U66" s="188"/>
      <c r="Z66" s="188"/>
      <c r="AA66" s="88"/>
      <c r="AB66"/>
    </row>
    <row r="67" spans="1:28" ht="21">
      <c r="A67" s="459"/>
      <c r="G67" s="188"/>
      <c r="L67" s="88"/>
      <c r="M67" s="88"/>
      <c r="N67" s="88"/>
      <c r="T67" s="188"/>
      <c r="U67" s="188"/>
      <c r="Z67" s="188"/>
      <c r="AA67" s="88"/>
      <c r="AB67"/>
    </row>
    <row r="68" spans="1:28" ht="21">
      <c r="A68" s="459"/>
      <c r="G68" s="188"/>
      <c r="L68" s="88"/>
      <c r="M68" s="88"/>
      <c r="N68" s="88"/>
      <c r="T68" s="188"/>
      <c r="U68" s="188"/>
      <c r="Z68" s="188"/>
      <c r="AA68" s="88"/>
      <c r="AB68"/>
    </row>
    <row r="69" spans="1:28" ht="21">
      <c r="A69" s="459"/>
      <c r="G69" s="188"/>
      <c r="L69" s="88"/>
      <c r="M69" s="88"/>
      <c r="N69" s="88"/>
      <c r="T69" s="188"/>
      <c r="U69" s="188"/>
      <c r="Z69" s="188"/>
      <c r="AA69" s="88"/>
      <c r="AB69"/>
    </row>
    <row r="70" spans="1:28" ht="21">
      <c r="A70" s="459"/>
      <c r="G70" s="188"/>
      <c r="L70" s="88"/>
      <c r="M70" s="88"/>
      <c r="N70" s="88"/>
      <c r="T70" s="188"/>
      <c r="U70" s="188"/>
      <c r="Z70" s="188"/>
      <c r="AA70" s="88"/>
      <c r="AB70"/>
    </row>
    <row r="71" spans="1:28" ht="21">
      <c r="A71" s="459"/>
      <c r="G71" s="188"/>
      <c r="L71" s="88"/>
      <c r="M71" s="88"/>
      <c r="N71" s="88"/>
      <c r="T71" s="188"/>
      <c r="U71" s="188"/>
      <c r="Z71" s="188"/>
      <c r="AA71" s="88"/>
      <c r="AB71"/>
    </row>
    <row r="72" spans="1:28" ht="21">
      <c r="A72" s="459"/>
      <c r="G72" s="188"/>
      <c r="L72" s="88"/>
      <c r="M72" s="88"/>
      <c r="N72" s="88"/>
      <c r="T72" s="188"/>
      <c r="U72" s="188"/>
      <c r="Z72" s="188"/>
      <c r="AA72" s="88"/>
      <c r="AB72"/>
    </row>
    <row r="73" spans="1:28" ht="21">
      <c r="A73" s="459"/>
      <c r="G73" s="188"/>
      <c r="L73" s="88"/>
      <c r="M73" s="88"/>
      <c r="N73" s="88"/>
      <c r="T73" s="188"/>
      <c r="U73" s="188"/>
      <c r="Z73" s="188"/>
      <c r="AA73" s="88"/>
      <c r="AB73"/>
    </row>
    <row r="74" spans="1:28" ht="21">
      <c r="A74" s="459"/>
      <c r="G74" s="188"/>
      <c r="L74" s="88"/>
      <c r="M74" s="88"/>
      <c r="N74" s="88"/>
      <c r="T74" s="188"/>
      <c r="U74" s="188"/>
      <c r="Z74" s="188"/>
      <c r="AA74" s="88"/>
      <c r="AB74"/>
    </row>
    <row r="75" spans="1:28" ht="21">
      <c r="A75" s="459"/>
      <c r="G75" s="188"/>
      <c r="L75" s="88"/>
      <c r="M75" s="88"/>
      <c r="N75" s="88"/>
      <c r="T75" s="188"/>
      <c r="U75" s="188"/>
      <c r="Z75" s="188"/>
      <c r="AA75" s="88"/>
      <c r="AB75"/>
    </row>
    <row r="76" spans="1:28" ht="21">
      <c r="A76" s="459"/>
      <c r="G76" s="188"/>
      <c r="L76" s="88"/>
      <c r="M76" s="88"/>
      <c r="N76" s="88"/>
      <c r="T76" s="188"/>
      <c r="U76" s="188"/>
      <c r="Z76" s="188"/>
      <c r="AA76" s="88"/>
      <c r="AB76"/>
    </row>
    <row r="77" spans="1:28" ht="21">
      <c r="A77" s="459"/>
      <c r="G77" s="188"/>
      <c r="L77" s="88"/>
      <c r="M77" s="88"/>
      <c r="N77" s="88"/>
      <c r="T77" s="188"/>
      <c r="U77" s="188"/>
      <c r="Z77" s="188"/>
      <c r="AA77" s="88"/>
      <c r="AB77"/>
    </row>
    <row r="78" spans="1:28" ht="21" customHeight="1">
      <c r="A78" s="459"/>
      <c r="G78" s="188"/>
      <c r="L78" s="88"/>
      <c r="M78" s="88"/>
      <c r="N78" s="88"/>
      <c r="T78" s="188"/>
      <c r="U78" s="188"/>
      <c r="Z78" s="188"/>
      <c r="AA78" s="88"/>
      <c r="AB78"/>
    </row>
    <row r="79" spans="1:28" ht="21">
      <c r="A79" s="459"/>
      <c r="G79" s="188"/>
      <c r="L79" s="88"/>
      <c r="M79" s="88"/>
      <c r="N79" s="88"/>
      <c r="T79" s="188"/>
      <c r="U79" s="188"/>
      <c r="Z79" s="188"/>
      <c r="AA79" s="88"/>
      <c r="AB79"/>
    </row>
    <row r="80" spans="1:28" ht="21">
      <c r="A80" s="459"/>
      <c r="G80" s="188"/>
      <c r="L80" s="88"/>
      <c r="M80" s="88"/>
      <c r="N80" s="88"/>
      <c r="T80" s="188"/>
      <c r="U80" s="188"/>
      <c r="Z80" s="188"/>
      <c r="AA80" s="88"/>
      <c r="AB80"/>
    </row>
    <row r="81" spans="1:28" ht="21">
      <c r="A81" s="459"/>
      <c r="G81" s="188"/>
      <c r="L81" s="88"/>
      <c r="M81" s="88"/>
      <c r="N81" s="88"/>
      <c r="T81" s="188"/>
      <c r="U81" s="188"/>
      <c r="Z81" s="188"/>
      <c r="AA81" s="88"/>
      <c r="AB81"/>
    </row>
    <row r="82" spans="1:28" ht="21">
      <c r="A82" s="459"/>
      <c r="G82" s="188"/>
      <c r="L82" s="88"/>
      <c r="M82" s="88"/>
      <c r="N82" s="88"/>
      <c r="T82" s="188"/>
      <c r="U82" s="188"/>
      <c r="Z82" s="188"/>
      <c r="AA82" s="88"/>
      <c r="AB82"/>
    </row>
    <row r="83" spans="1:28" ht="21">
      <c r="A83" s="459"/>
      <c r="G83" s="188"/>
      <c r="L83" s="88"/>
      <c r="M83" s="88"/>
      <c r="N83" s="88"/>
      <c r="T83" s="188"/>
      <c r="U83" s="188"/>
      <c r="Z83" s="188"/>
      <c r="AA83" s="88"/>
      <c r="AB83"/>
    </row>
    <row r="84" spans="1:28" ht="21">
      <c r="A84" s="459"/>
      <c r="G84" s="188"/>
      <c r="L84" s="88"/>
      <c r="M84" s="88"/>
      <c r="N84" s="88"/>
      <c r="T84" s="188"/>
      <c r="U84" s="188"/>
      <c r="Z84" s="188"/>
      <c r="AA84" s="88"/>
      <c r="AB84"/>
    </row>
    <row r="85" spans="1:28">
      <c r="AB85"/>
    </row>
    <row r="86" spans="1:28">
      <c r="AB86"/>
    </row>
    <row r="87" spans="1:28">
      <c r="AB87"/>
    </row>
    <row r="88" spans="1:28">
      <c r="AB88"/>
    </row>
    <row r="89" spans="1:28">
      <c r="AB89"/>
    </row>
    <row r="90" spans="1:28">
      <c r="AB90"/>
    </row>
    <row r="91" spans="1:28">
      <c r="AB91"/>
    </row>
    <row r="92" spans="1:28">
      <c r="AB92"/>
    </row>
    <row r="93" spans="1:28">
      <c r="AB93"/>
    </row>
    <row r="94" spans="1:28">
      <c r="AB94"/>
    </row>
    <row r="95" spans="1:28">
      <c r="AB95"/>
    </row>
    <row r="96" spans="1:28">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sheetData>
  <sheetProtection algorithmName="SHA-512" hashValue="jG39DiYFoytSNI/fiityf+5wUi8+/Id2qGihDdlgymB++dpTYpn4qeFjurssoiVMf4s20GwI8kXEQhYGuZsNMg==" saltValue="bbSxF6R3GcieiN1EF3Jg5A==" spinCount="100000" sheet="1" objects="1" scenarios="1"/>
  <mergeCells count="27">
    <mergeCell ref="B2:AA2"/>
    <mergeCell ref="P3:P4"/>
    <mergeCell ref="W3:W4"/>
    <mergeCell ref="H3:H4"/>
    <mergeCell ref="X3:X4"/>
    <mergeCell ref="S3:S4"/>
    <mergeCell ref="Q3:Q4"/>
    <mergeCell ref="I3:I4"/>
    <mergeCell ref="J3:J4"/>
    <mergeCell ref="V3:V4"/>
    <mergeCell ref="U3:U4"/>
    <mergeCell ref="G3:G4"/>
    <mergeCell ref="O3:O4"/>
    <mergeCell ref="D3:D4"/>
    <mergeCell ref="E3:E4"/>
    <mergeCell ref="F3:F4"/>
    <mergeCell ref="AA3:AA4"/>
    <mergeCell ref="L3:L4"/>
    <mergeCell ref="M3:M4"/>
    <mergeCell ref="N3:N4"/>
    <mergeCell ref="B3:B4"/>
    <mergeCell ref="C3:C4"/>
    <mergeCell ref="R3:R4"/>
    <mergeCell ref="K3:K4"/>
    <mergeCell ref="Y3:Y4"/>
    <mergeCell ref="T3:T4"/>
    <mergeCell ref="Z3:Z4"/>
  </mergeCells>
  <phoneticPr fontId="61" type="noConversion"/>
  <pageMargins left="0.7" right="0.7" top="0.75" bottom="0.75" header="0.3" footer="0.3"/>
  <pageSetup scale="25" fitToHeight="2"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38</vt:i4>
      </vt:variant>
      <vt:variant>
        <vt:lpstr>Named Ranges</vt:lpstr>
      </vt:variant>
      <vt:variant>
        <vt:i4>11</vt:i4>
      </vt:variant>
    </vt:vector>
  </HeadingPairs>
  <TitlesOfParts>
    <vt:vector size="49" baseType="lpstr">
      <vt:lpstr>Introduction</vt:lpstr>
      <vt:lpstr>Results</vt:lpstr>
      <vt:lpstr>Farm and Rotation Setup</vt:lpstr>
      <vt:lpstr>Prices_Yields&amp;SeedInputs</vt:lpstr>
      <vt:lpstr>LivestockImprovements</vt:lpstr>
      <vt:lpstr>Chem&amp;FertInputs&amp;CInsurance</vt:lpstr>
      <vt:lpstr>MachineAssumptions</vt:lpstr>
      <vt:lpstr>FieldApplications</vt:lpstr>
      <vt:lpstr>CustomRates</vt:lpstr>
      <vt:lpstr>SWWinterWheatAfterSpringLegume</vt:lpstr>
      <vt:lpstr>SWWinterWheatAfterForageCrop</vt:lpstr>
      <vt:lpstr>DNSpringWinterAfterSpringLegume</vt:lpstr>
      <vt:lpstr>DNSpringWheatAfterForageCrop</vt:lpstr>
      <vt:lpstr>DNSpringWheatAfterWinterCrop</vt:lpstr>
      <vt:lpstr>ChickpeaAfterForageCrop</vt:lpstr>
      <vt:lpstr>ChickpeaAfterCereal</vt:lpstr>
      <vt:lpstr>SpringPeaAfterCereal</vt:lpstr>
      <vt:lpstr>ForageCrop-StJohn</vt:lpstr>
      <vt:lpstr>ForageCrop-Genesee</vt:lpstr>
      <vt:lpstr>LivestockGrazing</vt:lpstr>
      <vt:lpstr>SWWinterWheatafterCereal</vt:lpstr>
      <vt:lpstr>SWWinterWheatAfterFallow</vt:lpstr>
      <vt:lpstr>Chem-Fallow</vt:lpstr>
      <vt:lpstr>Flex-Fallow</vt:lpstr>
      <vt:lpstr>SpringBarley</vt:lpstr>
      <vt:lpstr>SpringCanola_R-Ready</vt:lpstr>
      <vt:lpstr>SpringCanola</vt:lpstr>
      <vt:lpstr>SpringLentils</vt:lpstr>
      <vt:lpstr>SWSpringWheat</vt:lpstr>
      <vt:lpstr>HRWinterWheat</vt:lpstr>
      <vt:lpstr>WinterPea</vt:lpstr>
      <vt:lpstr>WinterCanola</vt:lpstr>
      <vt:lpstr>ForageCrop</vt:lpstr>
      <vt:lpstr>AnnualRotations</vt:lpstr>
      <vt:lpstr>Graphs</vt:lpstr>
      <vt:lpstr>LivestockFencing (2)</vt:lpstr>
      <vt:lpstr>LeasingInfo</vt:lpstr>
      <vt:lpstr>LeaseOption</vt:lpstr>
      <vt:lpstr>DNSpringWinterAfterSpringLegume!Print_Area</vt:lpstr>
      <vt:lpstr>'ForageCrop-Genesee'!Print_Area</vt:lpstr>
      <vt:lpstr>'ForageCrop-StJohn'!Print_Area</vt:lpstr>
      <vt:lpstr>Introduction!Print_Area</vt:lpstr>
      <vt:lpstr>LivestockGrazing!Print_Area</vt:lpstr>
      <vt:lpstr>SWSpringWheat!Print_Area</vt:lpstr>
      <vt:lpstr>SWWinterWheatafterCereal!Print_Area</vt:lpstr>
      <vt:lpstr>SWWinterWheatAfterFallow!Print_Area</vt:lpstr>
      <vt:lpstr>SWWinterWheatAfterForageCrop!Print_Area</vt:lpstr>
      <vt:lpstr>SWWinterWheatAfterSpringLegume!Print_Area</vt:lpstr>
      <vt:lpstr>SWWW_Fallow</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Seavert, Clark F</cp:lastModifiedBy>
  <cp:lastPrinted>2022-07-14T22:11:31Z</cp:lastPrinted>
  <dcterms:created xsi:type="dcterms:W3CDTF">2017-09-30T20:55:41Z</dcterms:created>
  <dcterms:modified xsi:type="dcterms:W3CDTF">2023-03-22T20:15:56Z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HV_diesel" linkTarget="prop_HHV_diesel">
    <vt:lpwstr>#REF!</vt:lpwstr>
  </property>
  <property fmtid="{D5CDD505-2E9C-101B-9397-08002B2CF9AE}" pid="3" name="HHV_gas" linkTarget="prop_HHV_gas">
    <vt:lpwstr>#REF!</vt:lpwstr>
  </property>
  <property fmtid="{D5CDD505-2E9C-101B-9397-08002B2CF9AE}" pid="4" name="HHV_jetfuel" linkTarget="prop_HHV_jetfuel">
    <vt:lpwstr>#REF!</vt:lpwstr>
  </property>
  <property fmtid="{D5CDD505-2E9C-101B-9397-08002B2CF9AE}" pid="5" name="HHV_naphtha" linkTarget="prop_HHV_naphtha">
    <vt:lpwstr>#REF!</vt:lpwstr>
  </property>
  <property fmtid="{D5CDD505-2E9C-101B-9397-08002B2CF9AE}" pid="6" name="HHV_NG" linkTarget="prop_HHV_NG">
    <vt:r8>44.1</vt:r8>
  </property>
  <property fmtid="{D5CDD505-2E9C-101B-9397-08002B2CF9AE}" pid="7" name="HHV_NG_mass" linkTarget="prop_HHV_NG_mass">
    <vt:lpwstr>#REF!</vt:lpwstr>
  </property>
  <property fmtid="{D5CDD505-2E9C-101B-9397-08002B2CF9AE}" pid="8" name="HHV_NG_volume" linkTarget="prop_HHV_NG_volume">
    <vt:lpwstr>#REF!</vt:lpwstr>
  </property>
  <property fmtid="{D5CDD505-2E9C-101B-9397-08002B2CF9AE}" pid="9" name="water_heat_vaporization" linkTarget="prop_water_heat_vaporization">
    <vt:lpwstr>#REF!</vt:lpwstr>
  </property>
  <property fmtid="{D5CDD505-2E9C-101B-9397-08002B2CF9AE}" pid="10" name="water_molecular_weight" linkTarget="prop_water_molecular_weight">
    <vt:lpwstr>#REF!</vt:lpwstr>
  </property>
  <property fmtid="{D5CDD505-2E9C-101B-9397-08002B2CF9AE}" pid="11" name="rho_NG" linkTarget="prop_rho_NG">
    <vt:lpwstr>#REF!</vt:lpwstr>
  </property>
  <property fmtid="{D5CDD505-2E9C-101B-9397-08002B2CF9AE}" pid="12" name="rho_water" linkTarget="prop_rho_water">
    <vt:lpwstr>#REF!</vt:lpwstr>
  </property>
</Properties>
</file>